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oogle Диск\Биржа\Проект Patreon\100+\"/>
    </mc:Choice>
  </mc:AlternateContent>
  <xr:revisionPtr revIDLastSave="0" documentId="13_ncr:1_{544E406F-8027-4A9F-AF9E-830ADA3351A5}" xr6:coauthVersionLast="47" xr6:coauthVersionMax="47" xr10:uidLastSave="{00000000-0000-0000-0000-000000000000}"/>
  <bookViews>
    <workbookView xWindow="-120" yWindow="-120" windowWidth="38640" windowHeight="21120" xr2:uid="{738CD76A-D43B-4CF0-9B4F-710131F69742}"/>
  </bookViews>
  <sheets>
    <sheet name="Master" sheetId="15" r:id="rId1"/>
    <sheet name="Valuation" sheetId="1" r:id="rId2"/>
    <sheet name="Ind" sheetId="16" r:id="rId3"/>
    <sheet name="Key financials" sheetId="11" r:id="rId4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5" l="1"/>
  <c r="F14" i="15"/>
  <c r="D3" i="1"/>
  <c r="C13" i="15"/>
  <c r="D11" i="1"/>
  <c r="C24" i="16"/>
  <c r="C23" i="16"/>
  <c r="C22" i="16"/>
  <c r="D21" i="16"/>
  <c r="E21" i="16"/>
  <c r="F21" i="16"/>
  <c r="G21" i="16"/>
  <c r="H21" i="16"/>
  <c r="I21" i="16"/>
  <c r="C21" i="16"/>
  <c r="D17" i="16"/>
  <c r="E17" i="16"/>
  <c r="F17" i="16"/>
  <c r="G17" i="16"/>
  <c r="H17" i="16"/>
  <c r="I17" i="16"/>
  <c r="D18" i="16"/>
  <c r="E18" i="16"/>
  <c r="F18" i="16"/>
  <c r="G18" i="16"/>
  <c r="H18" i="16"/>
  <c r="I18" i="16"/>
  <c r="D19" i="16"/>
  <c r="E19" i="16"/>
  <c r="F19" i="16"/>
  <c r="G19" i="16"/>
  <c r="H19" i="16"/>
  <c r="I19" i="16"/>
  <c r="D20" i="16"/>
  <c r="E20" i="16"/>
  <c r="F20" i="16"/>
  <c r="G20" i="16"/>
  <c r="H20" i="16"/>
  <c r="I20" i="16"/>
  <c r="C20" i="16"/>
  <c r="C19" i="16"/>
  <c r="C18" i="16"/>
  <c r="C17" i="16"/>
  <c r="D11" i="16"/>
  <c r="E11" i="16"/>
  <c r="F11" i="16"/>
  <c r="G11" i="16"/>
  <c r="H11" i="16"/>
  <c r="I11" i="16"/>
  <c r="D12" i="16"/>
  <c r="E12" i="16"/>
  <c r="F12" i="16"/>
  <c r="G12" i="16"/>
  <c r="H12" i="16"/>
  <c r="I12" i="16"/>
  <c r="D13" i="16"/>
  <c r="E13" i="16"/>
  <c r="F13" i="16"/>
  <c r="G13" i="16"/>
  <c r="H13" i="16"/>
  <c r="I13" i="16"/>
  <c r="D14" i="16"/>
  <c r="E14" i="16"/>
  <c r="F14" i="16"/>
  <c r="G14" i="16"/>
  <c r="H14" i="16"/>
  <c r="I14" i="16"/>
  <c r="D15" i="16"/>
  <c r="E15" i="16"/>
  <c r="F15" i="16"/>
  <c r="G15" i="16"/>
  <c r="H15" i="16"/>
  <c r="I15" i="16"/>
  <c r="D16" i="16"/>
  <c r="E16" i="16"/>
  <c r="F16" i="16"/>
  <c r="G16" i="16"/>
  <c r="H16" i="16"/>
  <c r="I16" i="16"/>
  <c r="C16" i="16"/>
  <c r="C15" i="16"/>
  <c r="C14" i="16"/>
  <c r="C13" i="16"/>
  <c r="C12" i="16"/>
  <c r="C11" i="16"/>
  <c r="D2" i="16"/>
  <c r="E2" i="16"/>
  <c r="F2" i="16"/>
  <c r="G2" i="16"/>
  <c r="H2" i="16"/>
  <c r="I2" i="16"/>
  <c r="D3" i="16"/>
  <c r="E3" i="16"/>
  <c r="F3" i="16"/>
  <c r="G3" i="16"/>
  <c r="H3" i="16"/>
  <c r="I3" i="16"/>
  <c r="D4" i="16"/>
  <c r="E4" i="16"/>
  <c r="F4" i="16"/>
  <c r="G4" i="16"/>
  <c r="H4" i="16"/>
  <c r="I4" i="16"/>
  <c r="D5" i="16"/>
  <c r="E5" i="16"/>
  <c r="F5" i="16"/>
  <c r="G5" i="16"/>
  <c r="H5" i="16"/>
  <c r="I5" i="16"/>
  <c r="D6" i="16"/>
  <c r="E6" i="16"/>
  <c r="F6" i="16"/>
  <c r="G6" i="16"/>
  <c r="H6" i="16"/>
  <c r="I6" i="16"/>
  <c r="D7" i="16"/>
  <c r="E7" i="16"/>
  <c r="F7" i="16"/>
  <c r="G7" i="16"/>
  <c r="H7" i="16"/>
  <c r="I7" i="16"/>
  <c r="D8" i="16"/>
  <c r="E8" i="16"/>
  <c r="F8" i="16"/>
  <c r="G8" i="16"/>
  <c r="H8" i="16"/>
  <c r="I8" i="16"/>
  <c r="D9" i="16"/>
  <c r="E9" i="16"/>
  <c r="F9" i="16"/>
  <c r="G9" i="16"/>
  <c r="H9" i="16"/>
  <c r="I9" i="16"/>
  <c r="C9" i="16"/>
  <c r="C8" i="16"/>
  <c r="C7" i="16"/>
  <c r="C6" i="16"/>
  <c r="C5" i="16"/>
  <c r="C4" i="16"/>
  <c r="C3" i="16"/>
  <c r="C2" i="16"/>
  <c r="H10" i="16" l="1"/>
  <c r="E10" i="16"/>
  <c r="D10" i="16"/>
  <c r="F10" i="16"/>
  <c r="C10" i="16"/>
  <c r="I10" i="16"/>
  <c r="G10" i="16"/>
  <c r="H15" i="15"/>
  <c r="G14" i="15" l="1"/>
  <c r="C28" i="11" l="1"/>
  <c r="D27" i="11"/>
  <c r="E27" i="11" l="1"/>
  <c r="F27" i="11" s="1"/>
  <c r="G27" i="11" s="1"/>
  <c r="H27" i="11" s="1"/>
  <c r="I27" i="11" s="1"/>
  <c r="J27" i="11" s="1"/>
  <c r="K27" i="11" s="1"/>
  <c r="L27" i="11" s="1"/>
  <c r="L28" i="11" s="1"/>
  <c r="D28" i="11"/>
  <c r="C25" i="1"/>
  <c r="D18" i="1"/>
  <c r="D16" i="1"/>
  <c r="I12" i="1" l="1"/>
  <c r="F28" i="11"/>
  <c r="E28" i="11"/>
  <c r="I28" i="11"/>
  <c r="H28" i="11"/>
  <c r="G28" i="11"/>
  <c r="J28" i="11"/>
  <c r="K28" i="11"/>
  <c r="I4" i="1"/>
  <c r="I5" i="1" s="1"/>
  <c r="I11" i="1" l="1"/>
  <c r="I14" i="1" s="1"/>
  <c r="I6" i="1"/>
  <c r="G17" i="15"/>
  <c r="F17" i="15"/>
  <c r="G15" i="15"/>
  <c r="C17" i="15" l="1"/>
  <c r="C13" i="1" s="1"/>
  <c r="I13" i="1"/>
  <c r="H14" i="15"/>
  <c r="C22" i="1" l="1"/>
  <c r="C17" i="1"/>
  <c r="C18" i="1" s="1"/>
  <c r="N25" i="1" l="1"/>
  <c r="M20" i="1"/>
  <c r="G20" i="1" l="1"/>
  <c r="J20" i="1"/>
  <c r="K20" i="1"/>
  <c r="L20" i="1"/>
  <c r="D20" i="1"/>
  <c r="E20" i="1"/>
  <c r="F20" i="1"/>
  <c r="H20" i="1"/>
  <c r="I20" i="1"/>
  <c r="D21" i="1" l="1"/>
  <c r="E21" i="1" s="1"/>
  <c r="D27" i="1"/>
  <c r="E27" i="1" s="1"/>
  <c r="F27" i="1" s="1"/>
  <c r="G27" i="1" s="1"/>
  <c r="H27" i="1" s="1"/>
  <c r="I27" i="1" s="1"/>
  <c r="J27" i="1" s="1"/>
  <c r="K27" i="1" s="1"/>
  <c r="L27" i="1" s="1"/>
  <c r="M27" i="1" s="1"/>
  <c r="D25" i="1"/>
  <c r="C24" i="1" l="1"/>
  <c r="C15" i="1" l="1"/>
  <c r="F21" i="1"/>
  <c r="G21" i="1" s="1"/>
  <c r="H21" i="1" s="1"/>
  <c r="I21" i="1" s="1"/>
  <c r="J21" i="1" s="1"/>
  <c r="K21" i="1" s="1"/>
  <c r="L21" i="1" s="1"/>
  <c r="M21" i="1" s="1"/>
  <c r="M25" i="1" s="1"/>
  <c r="E25" i="1"/>
  <c r="H25" i="1" l="1"/>
  <c r="G25" i="1"/>
  <c r="F25" i="1"/>
  <c r="I25" i="1"/>
  <c r="J25" i="1"/>
  <c r="L25" i="1"/>
  <c r="K25" i="1"/>
  <c r="D22" i="1"/>
  <c r="D23" i="1" s="1"/>
  <c r="C23" i="1"/>
  <c r="C16" i="1" s="1"/>
  <c r="D24" i="1" l="1"/>
  <c r="D26" i="1" s="1"/>
  <c r="D28" i="1" s="1"/>
  <c r="E22" i="1"/>
  <c r="F13" i="15"/>
  <c r="C26" i="1"/>
  <c r="F22" i="1" l="1"/>
  <c r="E23" i="1"/>
  <c r="E24" i="1" s="1"/>
  <c r="E26" i="1" l="1"/>
  <c r="E28" i="1" s="1"/>
  <c r="G22" i="1"/>
  <c r="F23" i="1"/>
  <c r="F24" i="1" s="1"/>
  <c r="F26" i="1" l="1"/>
  <c r="F28" i="1" s="1"/>
  <c r="G23" i="1"/>
  <c r="G24" i="1" s="1"/>
  <c r="H22" i="1"/>
  <c r="H23" i="1" l="1"/>
  <c r="H24" i="1" s="1"/>
  <c r="I22" i="1"/>
  <c r="G26" i="1"/>
  <c r="G28" i="1" s="1"/>
  <c r="I23" i="1" l="1"/>
  <c r="I24" i="1" s="1"/>
  <c r="J22" i="1"/>
  <c r="H26" i="1"/>
  <c r="H28" i="1" s="1"/>
  <c r="J23" i="1" l="1"/>
  <c r="J24" i="1" s="1"/>
  <c r="K22" i="1"/>
  <c r="I26" i="1"/>
  <c r="I28" i="1" s="1"/>
  <c r="K23" i="1" l="1"/>
  <c r="K24" i="1" s="1"/>
  <c r="L22" i="1"/>
  <c r="J26" i="1"/>
  <c r="J28" i="1" s="1"/>
  <c r="L23" i="1" l="1"/>
  <c r="L24" i="1" s="1"/>
  <c r="M22" i="1"/>
  <c r="M23" i="1" s="1"/>
  <c r="M24" i="1" s="1"/>
  <c r="K26" i="1"/>
  <c r="K28" i="1" s="1"/>
  <c r="M26" i="1" l="1"/>
  <c r="M28" i="1" s="1"/>
  <c r="N23" i="1"/>
  <c r="L26" i="1"/>
  <c r="L28" i="1" s="1"/>
  <c r="N24" i="1" l="1"/>
  <c r="N26" i="1" s="1"/>
  <c r="N28" i="1" s="1"/>
  <c r="C30" i="1" s="1"/>
  <c r="F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" authorId="0" shapeId="0" xr:uid="{D02B06F4-0F64-4DBF-AE09-4E307C25E55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Typically, the yield on 10-year US Treasury bonds</t>
        </r>
      </text>
    </comment>
    <comment ref="C12" authorId="0" shapeId="0" xr:uid="{3A64E98A-7514-4C50-B98A-7A4EC10A7D2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e.g., retrospective rates of mature economies; are typically around 2-3%</t>
        </r>
      </text>
    </comment>
    <comment ref="C13" authorId="0" shapeId="0" xr:uid="{E1DC461E-429F-431F-ACB0-CB2623A759C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Please use your estimation or refer to the reference information on the right</t>
        </r>
      </text>
    </comment>
    <comment ref="C17" authorId="0" shapeId="0" xr:uid="{0F670C3E-8D4D-45F5-AE23-552071F3065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Please use your estimation or refer to the reference information on the right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B8E5B3-A4F2-46E8-8A51-4D24E11E3DED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<sst xmlns="http://schemas.openxmlformats.org/spreadsheetml/2006/main" count="147" uniqueCount="143">
  <si>
    <t>Current</t>
  </si>
  <si>
    <t>Terminal Year</t>
  </si>
  <si>
    <t>Cumulated Growth</t>
  </si>
  <si>
    <t>Reinvestment Rate</t>
  </si>
  <si>
    <t>EBIT</t>
  </si>
  <si>
    <t>Free Cashflow to Firm</t>
  </si>
  <si>
    <t>Cumulated Cost of Capital</t>
  </si>
  <si>
    <t>Present Value</t>
  </si>
  <si>
    <t>Year</t>
  </si>
  <si>
    <t>Value of Research Asset =</t>
  </si>
  <si>
    <t>Adjustment to Operating Income =</t>
  </si>
  <si>
    <t>Tax Effect of R&amp;D Expensing</t>
  </si>
  <si>
    <t>Total current assets</t>
  </si>
  <si>
    <t>Сurrent liabilities</t>
  </si>
  <si>
    <t>Current of Longterm Debt</t>
  </si>
  <si>
    <t>Estimated Company Default Spread =</t>
  </si>
  <si>
    <t>Commitment</t>
  </si>
  <si>
    <t>Debt Value of leases =</t>
  </si>
  <si>
    <t>Depreciation on Operating Lease Asset =</t>
  </si>
  <si>
    <t>Adjustment to Operating Earnings =</t>
  </si>
  <si>
    <t>United States</t>
  </si>
  <si>
    <t xml:space="preserve">Levered Beta </t>
  </si>
  <si>
    <t>Total Assets</t>
  </si>
  <si>
    <t>Total liabilities</t>
  </si>
  <si>
    <t>Depreciation and Amortization</t>
  </si>
  <si>
    <t>Purchases of prop. and equip.+ acquisition</t>
  </si>
  <si>
    <t>R&amp;D</t>
  </si>
  <si>
    <t>SG&amp;A expenses</t>
  </si>
  <si>
    <t>Fair Value</t>
  </si>
  <si>
    <t>Operating lease</t>
  </si>
  <si>
    <t>Last year</t>
  </si>
  <si>
    <t>next year</t>
  </si>
  <si>
    <t xml:space="preserve">Tax Rate </t>
  </si>
  <si>
    <t>Current price</t>
  </si>
  <si>
    <t>Ticker:</t>
  </si>
  <si>
    <t>Company Name:</t>
  </si>
  <si>
    <t>Country:</t>
  </si>
  <si>
    <t>Industry:</t>
  </si>
  <si>
    <t>Input:</t>
  </si>
  <si>
    <t>Info:</t>
  </si>
  <si>
    <t>Riskfree rate</t>
  </si>
  <si>
    <t>Stable growth rate</t>
  </si>
  <si>
    <t>Expected high growth rate</t>
  </si>
  <si>
    <t>Historical EBIT growth</t>
  </si>
  <si>
    <t>Historical Revenue growth</t>
  </si>
  <si>
    <t>5-year avg</t>
  </si>
  <si>
    <t>10-year avg</t>
  </si>
  <si>
    <t>Fundamental grow rate    -</t>
  </si>
  <si>
    <t>Historical tax rate</t>
  </si>
  <si>
    <t>Do you want to use analysts' EBIT forecasts for the next 2 years?</t>
  </si>
  <si>
    <t>No</t>
  </si>
  <si>
    <t>Choose 'Yes' or 'No'</t>
  </si>
  <si>
    <t>Analysts' EBIT forecasts</t>
  </si>
  <si>
    <t>Normalized EBIT</t>
  </si>
  <si>
    <t>The initial data</t>
  </si>
  <si>
    <t>Normalized Capex</t>
  </si>
  <si>
    <t xml:space="preserve">High growth </t>
  </si>
  <si>
    <t xml:space="preserve">Stable growth </t>
  </si>
  <si>
    <t xml:space="preserve">Length of Period </t>
  </si>
  <si>
    <t>&gt;11</t>
  </si>
  <si>
    <t xml:space="preserve">Equity Risk Premium </t>
  </si>
  <si>
    <t xml:space="preserve">Effective Tax rate </t>
  </si>
  <si>
    <t xml:space="preserve">Marginal tax rate </t>
  </si>
  <si>
    <t>ROC</t>
  </si>
  <si>
    <t>Debt/(Debt +Equity)</t>
  </si>
  <si>
    <t>WACC</t>
  </si>
  <si>
    <t>Calculations</t>
  </si>
  <si>
    <t>The amortization period of R&amp;D expenses</t>
  </si>
  <si>
    <t>EBIT*(1 - tr)</t>
  </si>
  <si>
    <t>-(Capex-Amort.)</t>
  </si>
  <si>
    <t>Estimated County Default Spread</t>
  </si>
  <si>
    <t>Normalized Depr.&amp; Armort.</t>
  </si>
  <si>
    <t xml:space="preserve"> -Chg. Work. Cap.</t>
  </si>
  <si>
    <t>Value of Equity =</t>
  </si>
  <si>
    <t>R&amp;D expenses amortization this year</t>
  </si>
  <si>
    <t>Amortization of asset for current year</t>
  </si>
  <si>
    <t>Property and equipment</t>
  </si>
  <si>
    <t>long-term debt</t>
  </si>
  <si>
    <t>Share Holders Equity</t>
  </si>
  <si>
    <t>Revenue</t>
  </si>
  <si>
    <t>Cost of goods</t>
  </si>
  <si>
    <t>Gross Profit, Margin</t>
  </si>
  <si>
    <t>Interest expense</t>
  </si>
  <si>
    <t>R&amp;D expenses</t>
  </si>
  <si>
    <t>current year</t>
  </si>
  <si>
    <t xml:space="preserve"> </t>
  </si>
  <si>
    <t>Accounts receivable</t>
  </si>
  <si>
    <t>Inventory</t>
  </si>
  <si>
    <t>Cash&amp;equivalents</t>
  </si>
  <si>
    <t>BALANCE SHEET</t>
  </si>
  <si>
    <t>INCOME STATEMENT</t>
  </si>
  <si>
    <t>≥ 6</t>
  </si>
  <si>
    <t>Income before provision for income taxes</t>
  </si>
  <si>
    <t>Net Income</t>
  </si>
  <si>
    <t>Operating income</t>
  </si>
  <si>
    <t>Current reporting period:</t>
  </si>
  <si>
    <t xml:space="preserve">last reporting period: </t>
  </si>
  <si>
    <t>Diluted Shares Outstanding</t>
  </si>
  <si>
    <t>EPS diluted</t>
  </si>
  <si>
    <t>Yes</t>
  </si>
  <si>
    <t>Показник</t>
  </si>
  <si>
    <t>12 місяців</t>
  </si>
  <si>
    <t>Ефективність</t>
  </si>
  <si>
    <t xml:space="preserve">ROE </t>
  </si>
  <si>
    <t>ROА</t>
  </si>
  <si>
    <t xml:space="preserve">profit margin </t>
  </si>
  <si>
    <t>CoG/revenue</t>
  </si>
  <si>
    <t>SG&amp;A/revenue</t>
  </si>
  <si>
    <r>
      <t xml:space="preserve">Assets turnover </t>
    </r>
    <r>
      <rPr>
        <sz val="10"/>
        <rFont val="Arial"/>
        <family val="2"/>
        <charset val="204"/>
      </rPr>
      <t>(оберненість активів)</t>
    </r>
  </si>
  <si>
    <t>оберненість дебіторської заборгованості</t>
  </si>
  <si>
    <t>оберненість запасів</t>
  </si>
  <si>
    <t>цикл оборотного капіталу</t>
  </si>
  <si>
    <t>Ліквідність</t>
  </si>
  <si>
    <t>Cash/longterm debt</t>
  </si>
  <si>
    <t>Коеф. боргового навантаження</t>
  </si>
  <si>
    <r>
      <t>Коеф.</t>
    </r>
    <r>
      <rPr>
        <sz val="10"/>
        <color indexed="59"/>
        <rFont val="Calibri"/>
        <family val="2"/>
        <charset val="204"/>
      </rPr>
      <t xml:space="preserve"> п</t>
    </r>
    <r>
      <rPr>
        <sz val="10"/>
        <color indexed="59"/>
        <rFont val="Arial"/>
        <family val="2"/>
        <charset val="204"/>
      </rPr>
      <t>окриття відсотків прибутком</t>
    </r>
  </si>
  <si>
    <t>Поточна</t>
  </si>
  <si>
    <t>Термінова</t>
  </si>
  <si>
    <t>Коэффициент забезпеченості продажів оборотним капіталом</t>
  </si>
  <si>
    <t>Динаміка</t>
  </si>
  <si>
    <t>Динаміка продажів</t>
  </si>
  <si>
    <t>Динамика активів</t>
  </si>
  <si>
    <t>Динамика EBIT</t>
  </si>
  <si>
    <t>Балансова вартість</t>
  </si>
  <si>
    <t>EPS</t>
  </si>
  <si>
    <t>PE</t>
  </si>
  <si>
    <t>Z-рахунок Альтмана</t>
  </si>
  <si>
    <t>виробничі        (&lt;1.8; 1.8-2.9; &gt;2.9)</t>
  </si>
  <si>
    <t>невиробничі    (&lt;1.1;1.1-2.6; &gt;2.6)</t>
  </si>
  <si>
    <t>2022</t>
  </si>
  <si>
    <t>2021</t>
  </si>
  <si>
    <t>2020</t>
  </si>
  <si>
    <t>2019</t>
  </si>
  <si>
    <t>2018</t>
  </si>
  <si>
    <t>2017</t>
  </si>
  <si>
    <t>2016</t>
  </si>
  <si>
    <t>MSFT</t>
  </si>
  <si>
    <t>Microsoft Corp</t>
  </si>
  <si>
    <t>Software (System &amp; Application)</t>
  </si>
  <si>
    <t>https://www.investing.com/rates-bonds/u.s.-10-year-bond-yield</t>
  </si>
  <si>
    <t>analysts</t>
  </si>
  <si>
    <t>2024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</si>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</sst>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₴&quot;_-;\-* #,##0.00\ &quot;₴&quot;_-;_-* &quot;-&quot;??\ &quot;₴&quot;_-;_-@_-"/>
    <numFmt numFmtId="164" formatCode="&quot;$&quot;#,##0_);[Red]\(&quot;$&quot;#,##0\)"/>
    <numFmt numFmtId="165" formatCode="0.0000"/>
    <numFmt numFmtId="166" formatCode="0.0%"/>
    <numFmt numFmtId="167" formatCode="0.0"/>
    <numFmt numFmtId="168" formatCode="yyyy\-mm\-dd;@"/>
    <numFmt numFmtId="169" formatCode="#,##0.00_ ;\-#,##0.00\ "/>
    <numFmt numFmtId="170" formatCode="#,##0;[Red]#,##0"/>
    <numFmt numFmtId="171" formatCode="#,##0.0"/>
    <numFmt numFmtId="172" formatCode="#,##0.0_ ;\-#,##0.0\ "/>
  </numFmts>
  <fonts count="5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Geneva"/>
      <charset val="1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 Cyr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3399FF"/>
      <name val="Calibri"/>
      <family val="2"/>
      <charset val="204"/>
      <scheme val="minor"/>
    </font>
    <font>
      <b/>
      <sz val="26"/>
      <color rgb="FF3399FF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20"/>
      <color rgb="FF33CC33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indexed="6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0"/>
      <color indexed="59"/>
      <name val="Arial"/>
      <family val="2"/>
      <charset val="204"/>
    </font>
    <font>
      <sz val="10"/>
      <color indexed="59"/>
      <name val="Calibri"/>
      <family val="2"/>
      <charset val="204"/>
    </font>
    <font>
      <i/>
      <sz val="10"/>
      <name val="Arial Cyr"/>
      <charset val="204"/>
    </font>
    <font>
      <b/>
      <sz val="10"/>
      <color indexed="59"/>
      <name val="Arial"/>
      <family val="2"/>
      <charset val="204"/>
    </font>
    <font>
      <b/>
      <sz val="9"/>
      <name val="Arial Cyr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99FF"/>
      </left>
      <right style="medium">
        <color rgb="FF3399FF"/>
      </right>
      <top style="medium">
        <color rgb="FF3399FF"/>
      </top>
      <bottom style="medium">
        <color rgb="FF3399FF"/>
      </bottom>
      <diagonal/>
    </border>
    <border>
      <left/>
      <right/>
      <top style="medium">
        <color rgb="FF3399F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399FF"/>
      </bottom>
      <diagonal/>
    </border>
    <border>
      <left style="medium">
        <color rgb="FF33CC33"/>
      </left>
      <right style="medium">
        <color rgb="FF33CC33"/>
      </right>
      <top style="medium">
        <color rgb="FF33CC33"/>
      </top>
      <bottom style="medium">
        <color rgb="FF33CC33"/>
      </bottom>
      <diagonal/>
    </border>
    <border>
      <left style="medium">
        <color rgb="FF33CC33"/>
      </left>
      <right/>
      <top style="medium">
        <color rgb="FF33CC33"/>
      </top>
      <bottom style="medium">
        <color rgb="FF33CC33"/>
      </bottom>
      <diagonal/>
    </border>
    <border>
      <left style="medium">
        <color rgb="FF33CC33"/>
      </left>
      <right/>
      <top style="medium">
        <color rgb="FF33CC33"/>
      </top>
      <bottom/>
      <diagonal/>
    </border>
    <border>
      <left/>
      <right style="medium">
        <color rgb="FF33CC33"/>
      </right>
      <top style="medium">
        <color rgb="FF33CC33"/>
      </top>
      <bottom/>
      <diagonal/>
    </border>
    <border>
      <left style="medium">
        <color rgb="FF33CC33"/>
      </left>
      <right style="medium">
        <color rgb="FF33CC33"/>
      </right>
      <top/>
      <bottom style="medium">
        <color rgb="FF33CC33"/>
      </bottom>
      <diagonal/>
    </border>
    <border>
      <left style="medium">
        <color rgb="FF33CC33"/>
      </left>
      <right style="medium">
        <color rgb="FF33CC33"/>
      </right>
      <top/>
      <bottom/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4" borderId="0" applyAlignment="0"/>
    <xf numFmtId="0" fontId="4" fillId="0" borderId="0"/>
    <xf numFmtId="0" fontId="7" fillId="0" borderId="0" applyAlignment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Protection="1">
      <protection hidden="1"/>
    </xf>
    <xf numFmtId="0" fontId="0" fillId="7" borderId="0" xfId="0" applyFill="1"/>
    <xf numFmtId="0" fontId="16" fillId="7" borderId="0" xfId="0" applyFont="1" applyFill="1" applyAlignment="1" applyProtection="1">
      <alignment horizontal="left"/>
      <protection hidden="1"/>
    </xf>
    <xf numFmtId="0" fontId="0" fillId="7" borderId="0" xfId="0" applyFill="1" applyAlignment="1">
      <alignment horizontal="left"/>
    </xf>
    <xf numFmtId="0" fontId="17" fillId="7" borderId="0" xfId="0" applyFont="1" applyFill="1"/>
    <xf numFmtId="0" fontId="0" fillId="7" borderId="0" xfId="0" applyFill="1" applyAlignment="1">
      <alignment horizontal="right"/>
    </xf>
    <xf numFmtId="168" fontId="0" fillId="7" borderId="0" xfId="0" applyNumberFormat="1" applyFill="1" applyAlignment="1">
      <alignment horizontal="left"/>
    </xf>
    <xf numFmtId="0" fontId="15" fillId="7" borderId="20" xfId="0" applyFont="1" applyFill="1" applyBorder="1"/>
    <xf numFmtId="0" fontId="0" fillId="7" borderId="21" xfId="0" applyFill="1" applyBorder="1"/>
    <xf numFmtId="0" fontId="0" fillId="7" borderId="22" xfId="0" applyFill="1" applyBorder="1" applyAlignment="1">
      <alignment horizontal="left"/>
    </xf>
    <xf numFmtId="0" fontId="0" fillId="7" borderId="22" xfId="0" applyFill="1" applyBorder="1"/>
    <xf numFmtId="0" fontId="22" fillId="7" borderId="0" xfId="0" applyFont="1" applyFill="1"/>
    <xf numFmtId="0" fontId="23" fillId="7" borderId="19" xfId="0" applyFont="1" applyFill="1" applyBorder="1" applyAlignment="1">
      <alignment horizontal="center"/>
    </xf>
    <xf numFmtId="0" fontId="24" fillId="7" borderId="0" xfId="0" applyFont="1" applyFill="1"/>
    <xf numFmtId="10" fontId="25" fillId="2" borderId="0" xfId="0" applyNumberFormat="1" applyFont="1" applyFill="1" applyAlignment="1" applyProtection="1">
      <alignment horizontal="center" vertical="center"/>
      <protection locked="0"/>
    </xf>
    <xf numFmtId="166" fontId="25" fillId="2" borderId="0" xfId="0" applyNumberFormat="1" applyFont="1" applyFill="1" applyAlignment="1" applyProtection="1">
      <alignment horizontal="center" vertical="center"/>
      <protection locked="0"/>
    </xf>
    <xf numFmtId="0" fontId="26" fillId="7" borderId="0" xfId="0" applyFont="1" applyFill="1"/>
    <xf numFmtId="0" fontId="0" fillId="7" borderId="0" xfId="0" applyFill="1" applyAlignment="1">
      <alignment horizontal="center" vertical="center"/>
    </xf>
    <xf numFmtId="0" fontId="14" fillId="7" borderId="24" xfId="0" applyFont="1" applyFill="1" applyBorder="1"/>
    <xf numFmtId="166" fontId="9" fillId="3" borderId="26" xfId="0" applyNumberFormat="1" applyFont="1" applyFill="1" applyBorder="1" applyAlignment="1" applyProtection="1">
      <alignment horizontal="center" vertical="center"/>
      <protection hidden="1"/>
    </xf>
    <xf numFmtId="166" fontId="9" fillId="3" borderId="23" xfId="0" applyNumberFormat="1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>
      <alignment vertical="center"/>
    </xf>
    <xf numFmtId="0" fontId="0" fillId="7" borderId="27" xfId="0" applyFill="1" applyBorder="1" applyAlignment="1">
      <alignment horizontal="center" vertical="top" wrapText="1"/>
    </xf>
    <xf numFmtId="0" fontId="0" fillId="7" borderId="28" xfId="0" applyFill="1" applyBorder="1" applyAlignment="1">
      <alignment horizontal="center" vertical="top" wrapText="1"/>
    </xf>
    <xf numFmtId="166" fontId="10" fillId="3" borderId="24" xfId="0" applyNumberFormat="1" applyFont="1" applyFill="1" applyBorder="1" applyAlignment="1" applyProtection="1">
      <alignment horizontal="center" vertical="center"/>
      <protection hidden="1"/>
    </xf>
    <xf numFmtId="166" fontId="10" fillId="3" borderId="23" xfId="0" applyNumberFormat="1" applyFont="1" applyFill="1" applyBorder="1" applyAlignment="1" applyProtection="1">
      <alignment horizontal="center" vertical="center"/>
      <protection hidden="1"/>
    </xf>
    <xf numFmtId="0" fontId="0" fillId="7" borderId="23" xfId="0" applyFill="1" applyBorder="1"/>
    <xf numFmtId="0" fontId="0" fillId="7" borderId="0" xfId="0" applyFill="1" applyProtection="1">
      <protection hidden="1"/>
    </xf>
    <xf numFmtId="0" fontId="28" fillId="2" borderId="0" xfId="0" applyFont="1" applyFill="1" applyAlignment="1">
      <alignment horizontal="center"/>
    </xf>
    <xf numFmtId="166" fontId="10" fillId="7" borderId="0" xfId="0" applyNumberFormat="1" applyFont="1" applyFill="1" applyAlignment="1" applyProtection="1">
      <alignment horizontal="center" vertical="center"/>
      <protection hidden="1"/>
    </xf>
    <xf numFmtId="0" fontId="2" fillId="7" borderId="0" xfId="0" applyFont="1" applyFill="1" applyAlignment="1">
      <alignment horizontal="center"/>
    </xf>
    <xf numFmtId="0" fontId="31" fillId="7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10" fontId="2" fillId="7" borderId="0" xfId="2" applyNumberFormat="1" applyFont="1" applyFill="1" applyBorder="1" applyAlignment="1">
      <alignment horizontal="center"/>
    </xf>
    <xf numFmtId="170" fontId="2" fillId="7" borderId="0" xfId="0" applyNumberFormat="1" applyFont="1" applyFill="1" applyAlignment="1">
      <alignment horizontal="center"/>
    </xf>
    <xf numFmtId="170" fontId="2" fillId="7" borderId="0" xfId="1" applyNumberFormat="1" applyFont="1" applyFill="1" applyBorder="1" applyAlignment="1">
      <alignment horizontal="center"/>
    </xf>
    <xf numFmtId="164" fontId="2" fillId="7" borderId="0" xfId="1" applyNumberFormat="1" applyFont="1" applyFill="1" applyBorder="1" applyAlignment="1">
      <alignment horizontal="center"/>
    </xf>
    <xf numFmtId="44" fontId="2" fillId="7" borderId="0" xfId="1" applyFont="1" applyFill="1" applyBorder="1" applyAlignment="1">
      <alignment horizontal="center"/>
    </xf>
    <xf numFmtId="165" fontId="2" fillId="7" borderId="0" xfId="2" applyNumberFormat="1" applyFont="1" applyFill="1" applyBorder="1" applyAlignment="1">
      <alignment horizontal="center"/>
    </xf>
    <xf numFmtId="0" fontId="32" fillId="7" borderId="29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right"/>
    </xf>
    <xf numFmtId="2" fontId="14" fillId="7" borderId="0" xfId="0" applyNumberFormat="1" applyFont="1" applyFill="1"/>
    <xf numFmtId="0" fontId="14" fillId="7" borderId="0" xfId="0" applyFont="1" applyFill="1"/>
    <xf numFmtId="0" fontId="2" fillId="7" borderId="0" xfId="0" applyFont="1" applyFill="1" applyAlignment="1">
      <alignment horizontal="centerContinuous"/>
    </xf>
    <xf numFmtId="4" fontId="34" fillId="7" borderId="0" xfId="1" applyNumberFormat="1" applyFont="1" applyFill="1" applyBorder="1" applyAlignment="1">
      <alignment horizontal="right"/>
    </xf>
    <xf numFmtId="0" fontId="3" fillId="7" borderId="21" xfId="0" applyFont="1" applyFill="1" applyBorder="1"/>
    <xf numFmtId="0" fontId="3" fillId="7" borderId="21" xfId="0" applyFont="1" applyFill="1" applyBorder="1" applyAlignment="1">
      <alignment horizontal="center"/>
    </xf>
    <xf numFmtId="0" fontId="2" fillId="7" borderId="21" xfId="0" applyFont="1" applyFill="1" applyBorder="1"/>
    <xf numFmtId="2" fontId="2" fillId="7" borderId="0" xfId="0" applyNumberFormat="1" applyFont="1" applyFill="1" applyAlignment="1">
      <alignment horizontal="right"/>
    </xf>
    <xf numFmtId="4" fontId="3" fillId="7" borderId="0" xfId="0" applyNumberFormat="1" applyFont="1" applyFill="1"/>
    <xf numFmtId="4" fontId="3" fillId="7" borderId="0" xfId="1" applyNumberFormat="1" applyFont="1" applyFill="1" applyBorder="1"/>
    <xf numFmtId="2" fontId="14" fillId="7" borderId="0" xfId="0" applyNumberFormat="1" applyFont="1" applyFill="1" applyAlignment="1">
      <alignment horizontal="right"/>
    </xf>
    <xf numFmtId="0" fontId="34" fillId="7" borderId="0" xfId="0" applyFont="1" applyFill="1" applyAlignment="1">
      <alignment horizontal="center"/>
    </xf>
    <xf numFmtId="44" fontId="2" fillId="7" borderId="0" xfId="1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30" fillId="7" borderId="0" xfId="0" applyFont="1" applyFill="1"/>
    <xf numFmtId="2" fontId="30" fillId="7" borderId="0" xfId="0" applyNumberFormat="1" applyFont="1" applyFill="1"/>
    <xf numFmtId="10" fontId="34" fillId="7" borderId="0" xfId="1" applyNumberFormat="1" applyFont="1" applyFill="1" applyBorder="1" applyAlignment="1">
      <alignment horizontal="center"/>
    </xf>
    <xf numFmtId="10" fontId="34" fillId="7" borderId="0" xfId="2" applyNumberFormat="1" applyFont="1" applyFill="1" applyBorder="1" applyAlignment="1">
      <alignment horizontal="center"/>
    </xf>
    <xf numFmtId="2" fontId="2" fillId="7" borderId="0" xfId="0" applyNumberFormat="1" applyFont="1" applyFill="1"/>
    <xf numFmtId="10" fontId="3" fillId="7" borderId="0" xfId="0" applyNumberFormat="1" applyFont="1" applyFill="1" applyAlignment="1">
      <alignment horizontal="center"/>
    </xf>
    <xf numFmtId="10" fontId="3" fillId="7" borderId="0" xfId="1" applyNumberFormat="1" applyFont="1" applyFill="1" applyBorder="1" applyAlignment="1">
      <alignment horizontal="center"/>
    </xf>
    <xf numFmtId="10" fontId="34" fillId="7" borderId="0" xfId="0" applyNumberFormat="1" applyFont="1" applyFill="1" applyAlignment="1">
      <alignment horizontal="center"/>
    </xf>
    <xf numFmtId="0" fontId="31" fillId="7" borderId="0" xfId="0" applyFont="1" applyFill="1"/>
    <xf numFmtId="10" fontId="29" fillId="7" borderId="0" xfId="0" applyNumberFormat="1" applyFont="1" applyFill="1"/>
    <xf numFmtId="0" fontId="2" fillId="7" borderId="29" xfId="0" applyFont="1" applyFill="1" applyBorder="1"/>
    <xf numFmtId="10" fontId="3" fillId="7" borderId="29" xfId="0" applyNumberFormat="1" applyFont="1" applyFill="1" applyBorder="1" applyAlignment="1">
      <alignment horizontal="center"/>
    </xf>
    <xf numFmtId="0" fontId="32" fillId="7" borderId="0" xfId="0" applyFont="1" applyFill="1"/>
    <xf numFmtId="0" fontId="3" fillId="7" borderId="0" xfId="0" applyFont="1" applyFill="1"/>
    <xf numFmtId="0" fontId="33" fillId="7" borderId="0" xfId="0" applyFont="1" applyFill="1"/>
    <xf numFmtId="0" fontId="2" fillId="7" borderId="30" xfId="0" applyFont="1" applyFill="1" applyBorder="1" applyAlignment="1">
      <alignment horizontal="center"/>
    </xf>
    <xf numFmtId="0" fontId="31" fillId="7" borderId="31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2" xfId="0" applyFont="1" applyFill="1" applyBorder="1"/>
    <xf numFmtId="0" fontId="2" fillId="7" borderId="33" xfId="0" applyFont="1" applyFill="1" applyBorder="1" applyAlignment="1">
      <alignment horizontal="left"/>
    </xf>
    <xf numFmtId="0" fontId="2" fillId="7" borderId="34" xfId="0" applyFont="1" applyFill="1" applyBorder="1"/>
    <xf numFmtId="0" fontId="3" fillId="7" borderId="33" xfId="0" applyFont="1" applyFill="1" applyBorder="1" applyAlignment="1">
      <alignment horizontal="left"/>
    </xf>
    <xf numFmtId="4" fontId="2" fillId="7" borderId="34" xfId="1" applyNumberFormat="1" applyFont="1" applyFill="1" applyBorder="1" applyAlignment="1"/>
    <xf numFmtId="49" fontId="2" fillId="7" borderId="33" xfId="0" applyNumberFormat="1" applyFont="1" applyFill="1" applyBorder="1" applyAlignment="1">
      <alignment horizontal="left"/>
    </xf>
    <xf numFmtId="4" fontId="2" fillId="7" borderId="34" xfId="0" applyNumberFormat="1" applyFont="1" applyFill="1" applyBorder="1"/>
    <xf numFmtId="170" fontId="2" fillId="7" borderId="35" xfId="0" applyNumberFormat="1" applyFont="1" applyFill="1" applyBorder="1" applyAlignment="1">
      <alignment horizontal="center"/>
    </xf>
    <xf numFmtId="170" fontId="2" fillId="7" borderId="35" xfId="2" applyNumberFormat="1" applyFont="1" applyFill="1" applyBorder="1" applyAlignment="1">
      <alignment horizontal="center"/>
    </xf>
    <xf numFmtId="170" fontId="2" fillId="7" borderId="35" xfId="1" applyNumberFormat="1" applyFont="1" applyFill="1" applyBorder="1" applyAlignment="1">
      <alignment horizontal="center"/>
    </xf>
    <xf numFmtId="0" fontId="33" fillId="7" borderId="36" xfId="0" applyFont="1" applyFill="1" applyBorder="1" applyAlignment="1">
      <alignment horizontal="center"/>
    </xf>
    <xf numFmtId="44" fontId="3" fillId="7" borderId="37" xfId="1" applyFont="1" applyFill="1" applyBorder="1" applyAlignment="1">
      <alignment horizontal="center"/>
    </xf>
    <xf numFmtId="170" fontId="3" fillId="7" borderId="37" xfId="1" applyNumberFormat="1" applyFont="1" applyFill="1" applyBorder="1" applyAlignment="1">
      <alignment horizontal="center"/>
    </xf>
    <xf numFmtId="4" fontId="3" fillId="7" borderId="38" xfId="0" applyNumberFormat="1" applyFont="1" applyFill="1" applyBorder="1"/>
    <xf numFmtId="0" fontId="3" fillId="0" borderId="21" xfId="0" applyFont="1" applyBorder="1"/>
    <xf numFmtId="0" fontId="2" fillId="7" borderId="21" xfId="0" applyFont="1" applyFill="1" applyBorder="1" applyAlignment="1">
      <alignment horizontal="center"/>
    </xf>
    <xf numFmtId="4" fontId="3" fillId="7" borderId="0" xfId="1" applyNumberFormat="1" applyFont="1" applyFill="1" applyBorder="1" applyAlignment="1">
      <alignment horizontal="right"/>
    </xf>
    <xf numFmtId="4" fontId="3" fillId="7" borderId="0" xfId="0" applyNumberFormat="1" applyFont="1" applyFill="1" applyAlignment="1">
      <alignment horizontal="right"/>
    </xf>
    <xf numFmtId="2" fontId="37" fillId="6" borderId="8" xfId="7" applyNumberFormat="1" applyFont="1" applyFill="1" applyBorder="1" applyAlignment="1">
      <alignment horizontal="center"/>
    </xf>
    <xf numFmtId="2" fontId="37" fillId="6" borderId="9" xfId="7" applyNumberFormat="1" applyFont="1" applyFill="1" applyBorder="1" applyAlignment="1">
      <alignment horizontal="center"/>
    </xf>
    <xf numFmtId="0" fontId="2" fillId="0" borderId="0" xfId="7" applyFont="1"/>
    <xf numFmtId="0" fontId="2" fillId="0" borderId="11" xfId="7" applyFont="1" applyBorder="1" applyAlignment="1">
      <alignment horizontal="left" wrapText="1"/>
    </xf>
    <xf numFmtId="167" fontId="2" fillId="0" borderId="12" xfId="7" applyNumberFormat="1" applyFont="1" applyBorder="1" applyAlignment="1">
      <alignment horizontal="right"/>
    </xf>
    <xf numFmtId="167" fontId="2" fillId="0" borderId="2" xfId="7" applyNumberFormat="1" applyFont="1" applyBorder="1" applyAlignment="1">
      <alignment horizontal="right"/>
    </xf>
    <xf numFmtId="0" fontId="2" fillId="0" borderId="13" xfId="7" applyFont="1" applyBorder="1" applyAlignment="1">
      <alignment horizontal="left"/>
    </xf>
    <xf numFmtId="167" fontId="2" fillId="0" borderId="1" xfId="7" applyNumberFormat="1" applyFont="1" applyBorder="1" applyAlignment="1">
      <alignment horizontal="right"/>
    </xf>
    <xf numFmtId="167" fontId="2" fillId="0" borderId="3" xfId="7" applyNumberFormat="1" applyFont="1" applyBorder="1" applyAlignment="1">
      <alignment horizontal="right"/>
    </xf>
    <xf numFmtId="0" fontId="36" fillId="0" borderId="13" xfId="7" applyFont="1" applyBorder="1" applyAlignment="1">
      <alignment horizontal="left"/>
    </xf>
    <xf numFmtId="167" fontId="36" fillId="0" borderId="1" xfId="7" applyNumberFormat="1" applyFont="1" applyBorder="1" applyAlignment="1">
      <alignment horizontal="right"/>
    </xf>
    <xf numFmtId="167" fontId="36" fillId="0" borderId="3" xfId="7" applyNumberFormat="1" applyFont="1" applyBorder="1" applyAlignment="1">
      <alignment horizontal="right"/>
    </xf>
    <xf numFmtId="0" fontId="36" fillId="0" borderId="0" xfId="7" applyFont="1"/>
    <xf numFmtId="0" fontId="2" fillId="0" borderId="10" xfId="7" applyFont="1" applyBorder="1" applyAlignment="1">
      <alignment horizontal="left"/>
    </xf>
    <xf numFmtId="0" fontId="38" fillId="0" borderId="13" xfId="7" applyFont="1" applyBorder="1" applyAlignment="1">
      <alignment horizontal="left"/>
    </xf>
    <xf numFmtId="167" fontId="38" fillId="0" borderId="1" xfId="7" applyNumberFormat="1" applyFont="1" applyBorder="1" applyAlignment="1">
      <alignment horizontal="right"/>
    </xf>
    <xf numFmtId="167" fontId="3" fillId="0" borderId="1" xfId="7" applyNumberFormat="1" applyFont="1" applyBorder="1" applyAlignment="1">
      <alignment horizontal="right"/>
    </xf>
    <xf numFmtId="167" fontId="3" fillId="0" borderId="3" xfId="7" applyNumberFormat="1" applyFont="1" applyBorder="1" applyAlignment="1">
      <alignment horizontal="right"/>
    </xf>
    <xf numFmtId="0" fontId="39" fillId="0" borderId="14" xfId="7" applyFont="1" applyBorder="1" applyAlignment="1">
      <alignment horizontal="right"/>
    </xf>
    <xf numFmtId="167" fontId="38" fillId="0" borderId="4" xfId="7" applyNumberFormat="1" applyFont="1" applyBorder="1" applyAlignment="1">
      <alignment horizontal="right"/>
    </xf>
    <xf numFmtId="167" fontId="38" fillId="0" borderId="15" xfId="7" applyNumberFormat="1" applyFont="1" applyBorder="1" applyAlignment="1">
      <alignment horizontal="right"/>
    </xf>
    <xf numFmtId="0" fontId="36" fillId="6" borderId="5" xfId="7" applyFont="1" applyFill="1" applyBorder="1" applyAlignment="1">
      <alignment horizontal="center"/>
    </xf>
    <xf numFmtId="1" fontId="40" fillId="6" borderId="8" xfId="7" applyNumberFormat="1" applyFont="1" applyFill="1" applyBorder="1" applyAlignment="1">
      <alignment horizontal="center"/>
    </xf>
    <xf numFmtId="1" fontId="40" fillId="6" borderId="9" xfId="7" applyNumberFormat="1" applyFont="1" applyFill="1" applyBorder="1" applyAlignment="1">
      <alignment horizontal="center"/>
    </xf>
    <xf numFmtId="167" fontId="36" fillId="0" borderId="12" xfId="7" applyNumberFormat="1" applyFont="1" applyBorder="1" applyAlignment="1">
      <alignment horizontal="right"/>
    </xf>
    <xf numFmtId="167" fontId="36" fillId="0" borderId="2" xfId="7" applyNumberFormat="1" applyFont="1" applyBorder="1" applyAlignment="1">
      <alignment horizontal="right"/>
    </xf>
    <xf numFmtId="0" fontId="36" fillId="0" borderId="13" xfId="7" applyFont="1" applyBorder="1"/>
    <xf numFmtId="0" fontId="38" fillId="0" borderId="13" xfId="7" applyFont="1" applyBorder="1"/>
    <xf numFmtId="167" fontId="38" fillId="0" borderId="3" xfId="7" applyNumberFormat="1" applyFont="1" applyBorder="1" applyAlignment="1">
      <alignment horizontal="right"/>
    </xf>
    <xf numFmtId="167" fontId="36" fillId="0" borderId="4" xfId="7" applyNumberFormat="1" applyFont="1" applyBorder="1" applyAlignment="1">
      <alignment horizontal="right"/>
    </xf>
    <xf numFmtId="167" fontId="36" fillId="0" borderId="15" xfId="7" applyNumberFormat="1" applyFont="1" applyBorder="1" applyAlignment="1">
      <alignment horizontal="right"/>
    </xf>
    <xf numFmtId="0" fontId="2" fillId="0" borderId="13" xfId="7" applyFont="1" applyBorder="1"/>
    <xf numFmtId="2" fontId="3" fillId="0" borderId="17" xfId="7" applyNumberFormat="1" applyFont="1" applyBorder="1" applyAlignment="1">
      <alignment horizontal="right"/>
    </xf>
    <xf numFmtId="2" fontId="3" fillId="0" borderId="18" xfId="7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0" xfId="7" applyFont="1" applyAlignment="1">
      <alignment horizontal="right"/>
    </xf>
    <xf numFmtId="0" fontId="36" fillId="6" borderId="40" xfId="7" applyFont="1" applyFill="1" applyBorder="1" applyAlignment="1">
      <alignment horizontal="center"/>
    </xf>
    <xf numFmtId="0" fontId="38" fillId="0" borderId="11" xfId="7" applyFont="1" applyBorder="1"/>
    <xf numFmtId="167" fontId="38" fillId="0" borderId="0" xfId="7" applyNumberFormat="1" applyFont="1"/>
    <xf numFmtId="14" fontId="37" fillId="6" borderId="6" xfId="7" applyNumberFormat="1" applyFont="1" applyFill="1" applyBorder="1" applyAlignment="1">
      <alignment horizontal="left" vertical="justify" wrapText="1"/>
    </xf>
    <xf numFmtId="167" fontId="2" fillId="0" borderId="41" xfId="7" applyNumberFormat="1" applyFont="1" applyBorder="1" applyAlignment="1">
      <alignment horizontal="right"/>
    </xf>
    <xf numFmtId="167" fontId="2" fillId="0" borderId="42" xfId="7" applyNumberFormat="1" applyFont="1" applyBorder="1" applyAlignment="1">
      <alignment horizontal="right"/>
    </xf>
    <xf numFmtId="167" fontId="3" fillId="0" borderId="42" xfId="7" applyNumberFormat="1" applyFont="1" applyBorder="1" applyAlignment="1">
      <alignment horizontal="right"/>
    </xf>
    <xf numFmtId="167" fontId="36" fillId="0" borderId="43" xfId="7" applyNumberFormat="1" applyFont="1" applyBorder="1" applyAlignment="1">
      <alignment horizontal="right"/>
    </xf>
    <xf numFmtId="167" fontId="38" fillId="0" borderId="44" xfId="7" applyNumberFormat="1" applyFont="1" applyBorder="1" applyAlignment="1">
      <alignment horizontal="right"/>
    </xf>
    <xf numFmtId="1" fontId="40" fillId="6" borderId="45" xfId="7" applyNumberFormat="1" applyFont="1" applyFill="1" applyBorder="1" applyAlignment="1">
      <alignment horizontal="center"/>
    </xf>
    <xf numFmtId="167" fontId="36" fillId="0" borderId="44" xfId="7" applyNumberFormat="1" applyFont="1" applyBorder="1" applyAlignment="1">
      <alignment horizontal="right"/>
    </xf>
    <xf numFmtId="167" fontId="38" fillId="0" borderId="43" xfId="7" applyNumberFormat="1" applyFont="1" applyBorder="1" applyAlignment="1">
      <alignment horizontal="right"/>
    </xf>
    <xf numFmtId="2" fontId="36" fillId="0" borderId="46" xfId="7" applyNumberFormat="1" applyFont="1" applyBorder="1" applyAlignment="1">
      <alignment horizontal="right"/>
    </xf>
    <xf numFmtId="1" fontId="0" fillId="2" borderId="0" xfId="0" applyNumberFormat="1" applyFill="1" applyAlignment="1">
      <alignment horizontal="center"/>
    </xf>
    <xf numFmtId="172" fontId="2" fillId="0" borderId="1" xfId="1" applyNumberFormat="1" applyFont="1" applyBorder="1"/>
    <xf numFmtId="0" fontId="36" fillId="0" borderId="16" xfId="7" applyFont="1" applyBorder="1" applyAlignment="1">
      <alignment horizontal="left"/>
    </xf>
    <xf numFmtId="0" fontId="18" fillId="7" borderId="0" xfId="0" applyFont="1" applyFill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right"/>
      <protection hidden="1"/>
    </xf>
    <xf numFmtId="0" fontId="41" fillId="7" borderId="0" xfId="0" applyFont="1" applyFill="1"/>
    <xf numFmtId="0" fontId="42" fillId="7" borderId="47" xfId="7" applyFont="1" applyFill="1" applyBorder="1"/>
    <xf numFmtId="0" fontId="44" fillId="2" borderId="49" xfId="7" applyFont="1" applyFill="1" applyBorder="1" applyAlignment="1">
      <alignment horizontal="center"/>
    </xf>
    <xf numFmtId="0" fontId="44" fillId="2" borderId="50" xfId="7" applyFont="1" applyFill="1" applyBorder="1" applyAlignment="1">
      <alignment horizontal="center"/>
    </xf>
    <xf numFmtId="0" fontId="42" fillId="7" borderId="51" xfId="7" applyFont="1" applyFill="1" applyBorder="1"/>
    <xf numFmtId="0" fontId="42" fillId="7" borderId="0" xfId="7" applyFont="1" applyFill="1"/>
    <xf numFmtId="0" fontId="45" fillId="7" borderId="56" xfId="7" applyFont="1" applyFill="1" applyBorder="1"/>
    <xf numFmtId="0" fontId="44" fillId="7" borderId="0" xfId="7" applyFont="1" applyFill="1" applyAlignment="1">
      <alignment horizontal="right"/>
    </xf>
    <xf numFmtId="2" fontId="44" fillId="7" borderId="0" xfId="7" applyNumberFormat="1" applyFont="1" applyFill="1" applyAlignment="1">
      <alignment horizontal="center"/>
    </xf>
    <xf numFmtId="2" fontId="8" fillId="7" borderId="0" xfId="7" applyNumberFormat="1" applyFill="1" applyAlignment="1">
      <alignment horizontal="center"/>
    </xf>
    <xf numFmtId="0" fontId="8" fillId="7" borderId="56" xfId="7" applyFill="1" applyBorder="1" applyAlignment="1">
      <alignment horizontal="center" vertical="center" textRotation="90" wrapText="1"/>
    </xf>
    <xf numFmtId="0" fontId="50" fillId="7" borderId="0" xfId="7" applyFont="1" applyFill="1" applyAlignment="1">
      <alignment horizontal="right" vertical="top" wrapText="1"/>
    </xf>
    <xf numFmtId="167" fontId="44" fillId="7" borderId="0" xfId="7" applyNumberFormat="1" applyFont="1" applyFill="1" applyAlignment="1">
      <alignment horizontal="center" vertical="center"/>
    </xf>
    <xf numFmtId="10" fontId="8" fillId="7" borderId="0" xfId="7" applyNumberFormat="1" applyFill="1" applyAlignment="1">
      <alignment horizontal="center" vertical="center"/>
    </xf>
    <xf numFmtId="0" fontId="51" fillId="7" borderId="0" xfId="7" applyFont="1" applyFill="1"/>
    <xf numFmtId="0" fontId="8" fillId="7" borderId="0" xfId="7" applyFill="1"/>
    <xf numFmtId="0" fontId="45" fillId="7" borderId="0" xfId="7" applyFont="1" applyFill="1"/>
    <xf numFmtId="0" fontId="42" fillId="7" borderId="0" xfId="7" applyFont="1" applyFill="1" applyAlignment="1">
      <alignment horizontal="right"/>
    </xf>
    <xf numFmtId="0" fontId="49" fillId="7" borderId="0" xfId="7" applyFont="1" applyFill="1"/>
    <xf numFmtId="166" fontId="8" fillId="7" borderId="12" xfId="7" applyNumberFormat="1" applyFill="1" applyBorder="1" applyAlignment="1">
      <alignment horizontal="center" vertical="center"/>
    </xf>
    <xf numFmtId="166" fontId="8" fillId="7" borderId="1" xfId="7" applyNumberFormat="1" applyFill="1" applyBorder="1" applyAlignment="1">
      <alignment horizontal="center" vertical="center"/>
    </xf>
    <xf numFmtId="9" fontId="8" fillId="7" borderId="1" xfId="7" applyNumberFormat="1" applyFill="1" applyBorder="1" applyAlignment="1">
      <alignment horizontal="center" vertical="center"/>
    </xf>
    <xf numFmtId="2" fontId="8" fillId="7" borderId="1" xfId="7" applyNumberFormat="1" applyFill="1" applyBorder="1" applyAlignment="1">
      <alignment horizontal="center" vertical="center"/>
    </xf>
    <xf numFmtId="1" fontId="8" fillId="7" borderId="1" xfId="7" applyNumberFormat="1" applyFill="1" applyBorder="1" applyAlignment="1">
      <alignment horizontal="center" vertical="center"/>
    </xf>
    <xf numFmtId="1" fontId="8" fillId="7" borderId="54" xfId="7" applyNumberFormat="1" applyFill="1" applyBorder="1" applyAlignment="1">
      <alignment horizontal="center" vertical="center"/>
    </xf>
    <xf numFmtId="2" fontId="8" fillId="7" borderId="12" xfId="7" applyNumberFormat="1" applyFill="1" applyBorder="1" applyAlignment="1">
      <alignment horizontal="center" vertical="center"/>
    </xf>
    <xf numFmtId="4" fontId="8" fillId="7" borderId="1" xfId="7" applyNumberFormat="1" applyFill="1" applyBorder="1" applyAlignment="1">
      <alignment horizontal="center" vertical="center"/>
    </xf>
    <xf numFmtId="9" fontId="8" fillId="7" borderId="54" xfId="7" applyNumberFormat="1" applyFill="1" applyBorder="1" applyAlignment="1">
      <alignment horizontal="center" vertical="center"/>
    </xf>
    <xf numFmtId="2" fontId="8" fillId="7" borderId="54" xfId="7" applyNumberFormat="1" applyFill="1" applyBorder="1" applyAlignment="1">
      <alignment horizontal="center" vertical="center"/>
    </xf>
    <xf numFmtId="166" fontId="8" fillId="7" borderId="2" xfId="7" applyNumberFormat="1" applyFill="1" applyBorder="1" applyAlignment="1">
      <alignment horizontal="center" vertical="center"/>
    </xf>
    <xf numFmtId="166" fontId="8" fillId="7" borderId="3" xfId="7" applyNumberFormat="1" applyFill="1" applyBorder="1" applyAlignment="1">
      <alignment horizontal="center" vertical="center"/>
    </xf>
    <xf numFmtId="9" fontId="8" fillId="7" borderId="3" xfId="7" applyNumberFormat="1" applyFill="1" applyBorder="1" applyAlignment="1">
      <alignment horizontal="center" vertical="center"/>
    </xf>
    <xf numFmtId="2" fontId="8" fillId="7" borderId="3" xfId="7" applyNumberFormat="1" applyFill="1" applyBorder="1" applyAlignment="1">
      <alignment horizontal="center" vertical="center"/>
    </xf>
    <xf numFmtId="1" fontId="8" fillId="7" borderId="3" xfId="7" applyNumberFormat="1" applyFill="1" applyBorder="1" applyAlignment="1">
      <alignment horizontal="center" vertical="center"/>
    </xf>
    <xf numFmtId="1" fontId="8" fillId="7" borderId="55" xfId="7" applyNumberFormat="1" applyFill="1" applyBorder="1" applyAlignment="1">
      <alignment horizontal="center" vertical="center"/>
    </xf>
    <xf numFmtId="2" fontId="8" fillId="7" borderId="2" xfId="7" applyNumberFormat="1" applyFill="1" applyBorder="1" applyAlignment="1">
      <alignment horizontal="center" vertical="center"/>
    </xf>
    <xf numFmtId="4" fontId="8" fillId="7" borderId="3" xfId="7" applyNumberFormat="1" applyFill="1" applyBorder="1" applyAlignment="1">
      <alignment horizontal="center" vertical="center"/>
    </xf>
    <xf numFmtId="9" fontId="8" fillId="7" borderId="55" xfId="7" applyNumberFormat="1" applyFill="1" applyBorder="1" applyAlignment="1">
      <alignment horizontal="center" vertical="center"/>
    </xf>
    <xf numFmtId="2" fontId="8" fillId="7" borderId="55" xfId="7" applyNumberFormat="1" applyFill="1" applyBorder="1" applyAlignment="1">
      <alignment horizontal="center" vertical="center"/>
    </xf>
    <xf numFmtId="166" fontId="8" fillId="7" borderId="57" xfId="7" applyNumberFormat="1" applyFill="1" applyBorder="1" applyAlignment="1">
      <alignment horizontal="center" vertical="center"/>
    </xf>
    <xf numFmtId="166" fontId="8" fillId="7" borderId="58" xfId="7" applyNumberFormat="1" applyFill="1" applyBorder="1" applyAlignment="1">
      <alignment horizontal="center" vertical="center"/>
    </xf>
    <xf numFmtId="9" fontId="8" fillId="7" borderId="58" xfId="7" applyNumberFormat="1" applyFill="1" applyBorder="1" applyAlignment="1">
      <alignment horizontal="center" vertical="center"/>
    </xf>
    <xf numFmtId="2" fontId="8" fillId="7" borderId="58" xfId="7" applyNumberFormat="1" applyFill="1" applyBorder="1" applyAlignment="1">
      <alignment horizontal="center" vertical="center"/>
    </xf>
    <xf numFmtId="1" fontId="8" fillId="7" borderId="58" xfId="7" applyNumberFormat="1" applyFill="1" applyBorder="1" applyAlignment="1">
      <alignment horizontal="center" vertical="center"/>
    </xf>
    <xf numFmtId="1" fontId="8" fillId="7" borderId="59" xfId="7" applyNumberFormat="1" applyFill="1" applyBorder="1" applyAlignment="1">
      <alignment horizontal="center" vertical="center"/>
    </xf>
    <xf numFmtId="2" fontId="8" fillId="7" borderId="57" xfId="7" applyNumberFormat="1" applyFill="1" applyBorder="1" applyAlignment="1">
      <alignment horizontal="center" vertical="center"/>
    </xf>
    <xf numFmtId="4" fontId="8" fillId="7" borderId="58" xfId="7" applyNumberFormat="1" applyFill="1" applyBorder="1" applyAlignment="1">
      <alignment horizontal="center" vertical="center"/>
    </xf>
    <xf numFmtId="9" fontId="8" fillId="7" borderId="59" xfId="7" applyNumberFormat="1" applyFill="1" applyBorder="1" applyAlignment="1">
      <alignment horizontal="center" vertical="center"/>
    </xf>
    <xf numFmtId="2" fontId="8" fillId="7" borderId="59" xfId="7" applyNumberFormat="1" applyFill="1" applyBorder="1" applyAlignment="1">
      <alignment horizontal="center" vertical="center"/>
    </xf>
    <xf numFmtId="0" fontId="43" fillId="2" borderId="5" xfId="7" applyFont="1" applyFill="1" applyBorder="1" applyAlignment="1">
      <alignment horizontal="center" vertical="top" wrapText="1"/>
    </xf>
    <xf numFmtId="0" fontId="43" fillId="7" borderId="11" xfId="0" applyFont="1" applyFill="1" applyBorder="1" applyAlignment="1">
      <alignment horizontal="center" vertical="top" wrapText="1"/>
    </xf>
    <xf numFmtId="0" fontId="43" fillId="7" borderId="13" xfId="0" applyFont="1" applyFill="1" applyBorder="1" applyAlignment="1">
      <alignment horizontal="center" vertical="top" wrapText="1"/>
    </xf>
    <xf numFmtId="0" fontId="43" fillId="7" borderId="13" xfId="0" applyFont="1" applyFill="1" applyBorder="1" applyAlignment="1">
      <alignment horizontal="right" vertical="top" wrapText="1"/>
    </xf>
    <xf numFmtId="0" fontId="46" fillId="7" borderId="13" xfId="0" applyFont="1" applyFill="1" applyBorder="1" applyAlignment="1">
      <alignment horizontal="right" vertical="top" wrapText="1"/>
    </xf>
    <xf numFmtId="0" fontId="43" fillId="7" borderId="13" xfId="0" applyFont="1" applyFill="1" applyBorder="1" applyAlignment="1">
      <alignment horizontal="left" vertical="top"/>
    </xf>
    <xf numFmtId="0" fontId="46" fillId="7" borderId="16" xfId="0" applyFont="1" applyFill="1" applyBorder="1" applyAlignment="1">
      <alignment horizontal="right" vertical="top" wrapText="1"/>
    </xf>
    <xf numFmtId="0" fontId="8" fillId="7" borderId="11" xfId="0" applyFont="1" applyFill="1" applyBorder="1" applyAlignment="1">
      <alignment horizontal="left" wrapText="1"/>
    </xf>
    <xf numFmtId="0" fontId="47" fillId="7" borderId="13" xfId="0" applyFont="1" applyFill="1" applyBorder="1" applyAlignment="1">
      <alignment vertical="top" wrapText="1"/>
    </xf>
    <xf numFmtId="0" fontId="47" fillId="7" borderId="16" xfId="0" applyFont="1" applyFill="1" applyBorder="1" applyAlignment="1">
      <alignment vertical="top" wrapText="1"/>
    </xf>
    <xf numFmtId="0" fontId="47" fillId="7" borderId="11" xfId="0" applyFont="1" applyFill="1" applyBorder="1" applyAlignment="1">
      <alignment vertical="top" wrapText="1"/>
    </xf>
    <xf numFmtId="0" fontId="47" fillId="7" borderId="16" xfId="7" applyFont="1" applyFill="1" applyBorder="1" applyAlignment="1">
      <alignment vertical="top" wrapText="1"/>
    </xf>
    <xf numFmtId="0" fontId="44" fillId="2" borderId="48" xfId="7" applyFont="1" applyFill="1" applyBorder="1" applyAlignment="1">
      <alignment horizontal="center"/>
    </xf>
    <xf numFmtId="0" fontId="44" fillId="2" borderId="5" xfId="7" applyFont="1" applyFill="1" applyBorder="1" applyAlignment="1">
      <alignment horizontal="left"/>
    </xf>
    <xf numFmtId="166" fontId="44" fillId="7" borderId="11" xfId="7" applyNumberFormat="1" applyFont="1" applyFill="1" applyBorder="1" applyAlignment="1">
      <alignment horizontal="center" vertical="center"/>
    </xf>
    <xf numFmtId="166" fontId="44" fillId="7" borderId="13" xfId="7" applyNumberFormat="1" applyFont="1" applyFill="1" applyBorder="1" applyAlignment="1">
      <alignment horizontal="center" vertical="center"/>
    </xf>
    <xf numFmtId="9" fontId="44" fillId="7" borderId="13" xfId="7" applyNumberFormat="1" applyFont="1" applyFill="1" applyBorder="1" applyAlignment="1">
      <alignment horizontal="center" vertical="center"/>
    </xf>
    <xf numFmtId="2" fontId="44" fillId="7" borderId="13" xfId="7" applyNumberFormat="1" applyFont="1" applyFill="1" applyBorder="1" applyAlignment="1">
      <alignment horizontal="center" vertical="center"/>
    </xf>
    <xf numFmtId="1" fontId="44" fillId="7" borderId="13" xfId="7" applyNumberFormat="1" applyFont="1" applyFill="1" applyBorder="1" applyAlignment="1">
      <alignment horizontal="center" vertical="center"/>
    </xf>
    <xf numFmtId="1" fontId="44" fillId="7" borderId="16" xfId="7" applyNumberFormat="1" applyFont="1" applyFill="1" applyBorder="1" applyAlignment="1">
      <alignment horizontal="center" vertical="center"/>
    </xf>
    <xf numFmtId="2" fontId="44" fillId="7" borderId="11" xfId="7" applyNumberFormat="1" applyFont="1" applyFill="1" applyBorder="1" applyAlignment="1">
      <alignment horizontal="center" vertical="center"/>
    </xf>
    <xf numFmtId="4" fontId="44" fillId="7" borderId="13" xfId="7" applyNumberFormat="1" applyFont="1" applyFill="1" applyBorder="1" applyAlignment="1">
      <alignment horizontal="center" vertical="center"/>
    </xf>
    <xf numFmtId="9" fontId="44" fillId="7" borderId="16" xfId="7" applyNumberFormat="1" applyFont="1" applyFill="1" applyBorder="1" applyAlignment="1">
      <alignment horizontal="center" vertical="center"/>
    </xf>
    <xf numFmtId="2" fontId="44" fillId="7" borderId="16" xfId="7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4" fontId="34" fillId="7" borderId="0" xfId="0" applyNumberFormat="1" applyFont="1" applyFill="1" applyAlignment="1">
      <alignment horizontal="right"/>
    </xf>
    <xf numFmtId="10" fontId="34" fillId="7" borderId="0" xfId="0" applyNumberFormat="1" applyFont="1" applyFill="1" applyAlignment="1">
      <alignment horizontal="right"/>
    </xf>
    <xf numFmtId="10" fontId="2" fillId="7" borderId="0" xfId="0" applyNumberFormat="1" applyFont="1" applyFill="1" applyAlignment="1">
      <alignment horizontal="right"/>
    </xf>
    <xf numFmtId="2" fontId="34" fillId="7" borderId="0" xfId="0" applyNumberFormat="1" applyFont="1" applyFill="1" applyAlignment="1" applyProtection="1">
      <alignment horizontal="center"/>
      <protection locked="0"/>
    </xf>
    <xf numFmtId="2" fontId="34" fillId="7" borderId="0" xfId="0" applyNumberFormat="1" applyFont="1" applyFill="1" applyAlignment="1" applyProtection="1">
      <alignment horizontal="center"/>
      <protection hidden="1"/>
    </xf>
    <xf numFmtId="0" fontId="52" fillId="7" borderId="0" xfId="9" applyFill="1" applyAlignment="1">
      <alignment vertical="center"/>
    </xf>
    <xf numFmtId="10" fontId="0" fillId="7" borderId="0" xfId="0" applyNumberFormat="1" applyFill="1" applyAlignment="1">
      <alignment horizontal="center" vertical="center"/>
    </xf>
    <xf numFmtId="0" fontId="24" fillId="7" borderId="0" xfId="0" applyFont="1" applyFill="1" applyAlignment="1">
      <alignment horizontal="right" vertical="center"/>
    </xf>
    <xf numFmtId="2" fontId="20" fillId="2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169" fontId="21" fillId="5" borderId="7" xfId="0" applyNumberFormat="1" applyFont="1" applyFill="1" applyBorder="1" applyAlignment="1" applyProtection="1">
      <alignment horizontal="center"/>
      <protection hidden="1"/>
    </xf>
    <xf numFmtId="0" fontId="27" fillId="7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171" fontId="0" fillId="3" borderId="0" xfId="0" applyNumberFormat="1" applyFill="1" applyAlignment="1" applyProtection="1">
      <alignment horizontal="center" vertical="center"/>
      <protection hidden="1"/>
    </xf>
    <xf numFmtId="171" fontId="0" fillId="3" borderId="0" xfId="0" applyNumberFormat="1" applyFill="1" applyAlignment="1">
      <alignment horizontal="center" vertical="center"/>
    </xf>
    <xf numFmtId="4" fontId="33" fillId="5" borderId="0" xfId="1" applyNumberFormat="1" applyFont="1" applyFill="1" applyBorder="1" applyAlignment="1">
      <alignment horizontal="center"/>
    </xf>
    <xf numFmtId="4" fontId="0" fillId="5" borderId="0" xfId="0" applyNumberFormat="1" applyFill="1"/>
    <xf numFmtId="0" fontId="45" fillId="5" borderId="5" xfId="7" applyFont="1" applyFill="1" applyBorder="1" applyAlignment="1">
      <alignment horizontal="center" vertical="center" textRotation="90" wrapText="1"/>
    </xf>
    <xf numFmtId="0" fontId="44" fillId="5" borderId="52" xfId="7" applyFont="1" applyFill="1" applyBorder="1" applyAlignment="1">
      <alignment horizontal="center" vertical="center" textRotation="90" wrapText="1"/>
    </xf>
    <xf numFmtId="0" fontId="44" fillId="5" borderId="53" xfId="7" applyFont="1" applyFill="1" applyBorder="1" applyAlignment="1">
      <alignment horizontal="center" vertical="center" textRotation="90" wrapText="1"/>
    </xf>
    <xf numFmtId="0" fontId="45" fillId="5" borderId="11" xfId="7" applyFont="1" applyFill="1" applyBorder="1" applyAlignment="1">
      <alignment horizontal="center" vertical="center" textRotation="90" wrapText="1"/>
    </xf>
    <xf numFmtId="0" fontId="44" fillId="5" borderId="13" xfId="7" applyFont="1" applyFill="1" applyBorder="1" applyAlignment="1">
      <alignment horizontal="center" vertical="center" textRotation="90" wrapText="1"/>
    </xf>
    <xf numFmtId="0" fontId="44" fillId="5" borderId="16" xfId="7" applyFont="1" applyFill="1" applyBorder="1" applyAlignment="1">
      <alignment horizontal="center" vertical="center" textRotation="90" wrapText="1"/>
    </xf>
    <xf numFmtId="0" fontId="0" fillId="5" borderId="52" xfId="0" applyFill="1" applyBorder="1" applyAlignment="1">
      <alignment horizontal="center" vertical="center" textRotation="90" wrapText="1"/>
    </xf>
    <xf numFmtId="0" fontId="0" fillId="5" borderId="53" xfId="0" applyFill="1" applyBorder="1" applyAlignment="1">
      <alignment horizontal="center" vertical="center" textRotation="90" wrapText="1"/>
    </xf>
    <xf numFmtId="0" fontId="44" fillId="7" borderId="0" xfId="7" applyFont="1" applyFill="1" applyAlignment="1">
      <alignment horizontal="left" vertical="center" wrapText="1"/>
    </xf>
    <xf numFmtId="0" fontId="8" fillId="7" borderId="0" xfId="7" applyFill="1" applyAlignment="1">
      <alignment vertical="center"/>
    </xf>
    <xf numFmtId="0" fontId="35" fillId="0" borderId="39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</cellXfs>
  <cellStyles count="10">
    <cellStyle name="ColumnHeaderNormal" xfId="4" xr:uid="{944D5098-A9FB-43C3-9D84-09F350F55EDD}"/>
    <cellStyle name="TextNormal" xfId="6" xr:uid="{2692C0EC-9A55-482E-964F-EAE95AE0EE8E}"/>
    <cellStyle name="Гиперссылка" xfId="9" builtinId="8"/>
    <cellStyle name="Гиперссылка 2" xfId="8" xr:uid="{7DC1EF5A-3B34-4950-832F-0311ECCEAB3D}"/>
    <cellStyle name="Денежный" xfId="1" builtinId="4"/>
    <cellStyle name="Обычный" xfId="0" builtinId="0"/>
    <cellStyle name="Обычный 2" xfId="3" xr:uid="{EE3E335F-5942-409C-888D-2DB39D0753BE}"/>
    <cellStyle name="Обычный 3" xfId="5" xr:uid="{2C507BB6-2EE5-4127-9879-364552AD2E43}"/>
    <cellStyle name="Обычный 4" xfId="7" xr:uid="{E5E1D181-3831-4CA2-AD03-9A67349C5D8C}"/>
    <cellStyle name="Процентный" xfId="2" builtinId="5"/>
  </cellStyles>
  <dxfs count="4">
    <dxf>
      <font>
        <color rgb="FF00B050"/>
      </font>
    </dxf>
    <dxf>
      <font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  <color rgb="FFCCFFFF"/>
      <color rgb="FFCCFFCC"/>
      <color rgb="FF66CCFF"/>
      <color rgb="FF00B050"/>
      <color rgb="FF33CC33"/>
      <color rgb="FFFFFFFF"/>
      <color rgb="FF008000"/>
      <color rgb="FF33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sting.com/rates-bonds/u.s.-10-year-bond-yield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72C9-A6AF-4DB1-9527-60D3623DE281}">
  <dimension ref="B1:H22"/>
  <sheetViews>
    <sheetView tabSelected="1" workbookViewId="0">
      <selection activeCell="F3" sqref="F3:G3"/>
    </sheetView>
  </sheetViews>
  <sheetFormatPr defaultRowHeight="15"/>
  <cols>
    <col min="1" max="1" width="3.5703125" style="3" customWidth="1"/>
    <col min="2" max="2" width="34.42578125" style="3" customWidth="1"/>
    <col min="3" max="3" width="25.5703125" style="3" customWidth="1"/>
    <col min="4" max="4" width="7.7109375" style="3" customWidth="1"/>
    <col min="5" max="5" width="24.7109375" style="3" customWidth="1"/>
    <col min="6" max="8" width="10.7109375" style="3" customWidth="1"/>
    <col min="9" max="16384" width="9.140625" style="3"/>
  </cols>
  <sheetData>
    <row r="1" spans="2:8">
      <c r="B1" s="7" t="s">
        <v>95</v>
      </c>
      <c r="C1" s="145">
        <v>1</v>
      </c>
    </row>
    <row r="2" spans="2:8" ht="15.75" thickBot="1">
      <c r="B2" s="7" t="s">
        <v>96</v>
      </c>
      <c r="C2" s="8">
        <v>45960</v>
      </c>
      <c r="F2" s="10"/>
      <c r="G2" s="10"/>
    </row>
    <row r="3" spans="2:8" ht="30" customHeight="1" thickBot="1">
      <c r="B3" s="4" t="s">
        <v>34</v>
      </c>
      <c r="C3" s="14" t="s">
        <v>136</v>
      </c>
      <c r="E3" s="148" t="s">
        <v>33</v>
      </c>
      <c r="F3" s="233">
        <v>529</v>
      </c>
      <c r="G3" s="234"/>
    </row>
    <row r="4" spans="2:8" ht="30" customHeight="1" thickBot="1">
      <c r="B4" s="4" t="s">
        <v>35</v>
      </c>
      <c r="C4" s="9" t="s">
        <v>137</v>
      </c>
      <c r="E4" s="149" t="s">
        <v>28</v>
      </c>
      <c r="F4" s="235">
        <f>Valuation!C30/'Key financials'!B25</f>
        <v>458.21207230323535</v>
      </c>
      <c r="G4" s="234"/>
    </row>
    <row r="5" spans="2:8" ht="19.5" customHeight="1">
      <c r="B5" s="4" t="s">
        <v>36</v>
      </c>
      <c r="C5" s="6" t="s">
        <v>20</v>
      </c>
      <c r="F5" s="2"/>
    </row>
    <row r="6" spans="2:8" ht="19.5" customHeight="1">
      <c r="B6" s="4" t="s">
        <v>37</v>
      </c>
      <c r="C6" s="6" t="s">
        <v>138</v>
      </c>
    </row>
    <row r="7" spans="2:8" ht="30" customHeight="1" thickBot="1">
      <c r="B7" s="11"/>
      <c r="C7" s="12"/>
      <c r="D7" s="12"/>
      <c r="E7" s="12"/>
      <c r="F7" s="12"/>
      <c r="G7" s="12"/>
    </row>
    <row r="8" spans="2:8" ht="30" customHeight="1">
      <c r="B8" s="5"/>
    </row>
    <row r="9" spans="2:8" ht="26.25">
      <c r="B9" s="13" t="s">
        <v>38</v>
      </c>
      <c r="D9" s="18" t="s">
        <v>39</v>
      </c>
    </row>
    <row r="11" spans="2:8" ht="22.5" customHeight="1">
      <c r="B11" s="15" t="s">
        <v>40</v>
      </c>
      <c r="C11" s="16">
        <v>0.04</v>
      </c>
      <c r="D11" s="230" t="s">
        <v>139</v>
      </c>
    </row>
    <row r="12" spans="2:8" ht="22.5" customHeight="1" thickBot="1">
      <c r="B12" s="15" t="s">
        <v>41</v>
      </c>
      <c r="C12" s="16">
        <v>0.02</v>
      </c>
    </row>
    <row r="13" spans="2:8" ht="22.5" customHeight="1" thickBot="1">
      <c r="B13" s="15" t="s">
        <v>42</v>
      </c>
      <c r="C13" s="17">
        <f>C14</f>
        <v>0.14299999999999999</v>
      </c>
      <c r="E13" s="23" t="s">
        <v>47</v>
      </c>
      <c r="F13" s="21">
        <f>Valuation!C16*Valuation!C15</f>
        <v>0.1046528843668335</v>
      </c>
      <c r="G13" s="19"/>
      <c r="H13" s="19"/>
    </row>
    <row r="14" spans="2:8" ht="16.5" customHeight="1" thickBot="1">
      <c r="B14" s="232" t="s">
        <v>140</v>
      </c>
      <c r="C14" s="231">
        <v>0.14299999999999999</v>
      </c>
      <c r="E14" s="20" t="s">
        <v>43</v>
      </c>
      <c r="F14" s="22">
        <f>'Key financials'!C21/'Key financials'!D21-1</f>
        <v>0.17449032741494785</v>
      </c>
      <c r="G14" s="22">
        <f>POWER('Key financials'!C21/'Key financials'!H21,1/5)-1</f>
        <v>0.19401998182982894</v>
      </c>
      <c r="H14" s="22">
        <f>POWER('Key financials'!B21/'Key financials'!L21,1/10)-1</f>
        <v>0.17952279965553952</v>
      </c>
    </row>
    <row r="15" spans="2:8" ht="16.5" customHeight="1" thickBot="1">
      <c r="B15" s="15"/>
      <c r="E15" s="20" t="s">
        <v>44</v>
      </c>
      <c r="F15" s="22">
        <f>'Key financials'!C16/'Key financials'!D16-1</f>
        <v>0.15748076468044481</v>
      </c>
      <c r="G15" s="22">
        <f>POWER('Key financials'!C16/'Key financials'!H16,1/5)-1</f>
        <v>0.1468401707319027</v>
      </c>
      <c r="H15" s="22">
        <f>POWER('Key financials'!B16/'Key financials'!L16,1/10)-1</f>
        <v>0.12492613233446304</v>
      </c>
    </row>
    <row r="16" spans="2:8" ht="16.5" customHeight="1" thickBot="1">
      <c r="B16" s="15"/>
      <c r="F16" s="25" t="s">
        <v>30</v>
      </c>
      <c r="G16" s="25" t="s">
        <v>45</v>
      </c>
      <c r="H16" s="24" t="s">
        <v>46</v>
      </c>
    </row>
    <row r="17" spans="2:8" ht="16.5" customHeight="1" thickBot="1">
      <c r="B17" s="15" t="s">
        <v>32</v>
      </c>
      <c r="C17" s="16">
        <f>G17</f>
        <v>0.16655696750872162</v>
      </c>
      <c r="E17" s="28" t="s">
        <v>48</v>
      </c>
      <c r="F17" s="26">
        <f>('Key financials'!B23-'Key financials'!B24)/'Key financials'!B23</f>
        <v>0.1781856351686916</v>
      </c>
      <c r="G17" s="27">
        <f>(SUM('Key financials'!C23:G23)-SUM('Key financials'!C24:G24))/SUM('Key financials'!C23:G23)</f>
        <v>0.16655696750872162</v>
      </c>
    </row>
    <row r="18" spans="2:8" ht="22.5" customHeight="1">
      <c r="B18" s="15"/>
      <c r="F18" s="31"/>
      <c r="G18" s="31"/>
    </row>
    <row r="19" spans="2:8" ht="16.5" customHeight="1">
      <c r="B19" s="236" t="s">
        <v>49</v>
      </c>
      <c r="C19" s="30" t="s">
        <v>99</v>
      </c>
      <c r="D19" s="150" t="s">
        <v>99</v>
      </c>
      <c r="E19" s="3" t="s">
        <v>51</v>
      </c>
      <c r="F19" s="2" t="s">
        <v>52</v>
      </c>
    </row>
    <row r="20" spans="2:8" ht="16.5" customHeight="1">
      <c r="B20" s="237"/>
      <c r="C20"/>
      <c r="D20" s="150" t="s">
        <v>50</v>
      </c>
      <c r="F20" s="239">
        <v>146835</v>
      </c>
      <c r="G20" s="240"/>
      <c r="H20" s="3" t="s">
        <v>84</v>
      </c>
    </row>
    <row r="21" spans="2:8" ht="16.5" customHeight="1">
      <c r="B21" s="238"/>
      <c r="F21" s="239">
        <v>169325</v>
      </c>
      <c r="G21" s="240"/>
      <c r="H21" s="3" t="s">
        <v>31</v>
      </c>
    </row>
    <row r="22" spans="2:8">
      <c r="G22" s="29"/>
    </row>
  </sheetData>
  <mergeCells count="5">
    <mergeCell ref="F3:G3"/>
    <mergeCell ref="F4:G4"/>
    <mergeCell ref="B19:B21"/>
    <mergeCell ref="F20:G20"/>
    <mergeCell ref="F21:G21"/>
  </mergeCells>
  <conditionalFormatting sqref="F4">
    <cfRule type="cellIs" dxfId="3" priority="1" operator="lessThan">
      <formula>$F$3</formula>
    </cfRule>
    <cfRule type="cellIs" dxfId="2" priority="2" operator="greaterThan">
      <formula>$F$3</formula>
    </cfRule>
  </conditionalFormatting>
  <dataValidations count="1">
    <dataValidation type="list" allowBlank="1" showInputMessage="1" showErrorMessage="1" sqref="C19" xr:uid="{03CA290F-1C28-41A4-ACB0-5F15FFF469F8}">
      <formula1>$D$19:$D$20</formula1>
    </dataValidation>
  </dataValidations>
  <hyperlinks>
    <hyperlink ref="D11" r:id="rId1" xr:uid="{61F4887C-35ED-4F11-B527-10D470A0E2EB}"/>
  </hyperlinks>
  <pageMargins left="0.7" right="0.7" top="0.75" bottom="0.75" header="0.3" footer="0.3"/>
  <pageSetup paperSize="9" orientation="landscape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DD65-D1A9-4AD9-8323-B6AABE755FC4}">
  <dimension ref="A1:AD80"/>
  <sheetViews>
    <sheetView workbookViewId="0">
      <selection activeCell="D6" sqref="D6"/>
    </sheetView>
  </sheetViews>
  <sheetFormatPr defaultRowHeight="15.75"/>
  <cols>
    <col min="1" max="1" width="2.7109375" style="47" customWidth="1"/>
    <col min="2" max="2" width="20.7109375" style="47" customWidth="1"/>
    <col min="3" max="14" width="14" style="47" customWidth="1"/>
    <col min="15" max="15" width="12.85546875" style="46" customWidth="1"/>
    <col min="16" max="16" width="12.85546875" style="47" customWidth="1"/>
    <col min="17" max="17" width="11.42578125" style="47" customWidth="1"/>
    <col min="18" max="18" width="14.140625" style="47" customWidth="1"/>
    <col min="19" max="19" width="13" style="47" customWidth="1"/>
    <col min="20" max="20" width="10.85546875" style="47" customWidth="1"/>
    <col min="21" max="23" width="9.140625" style="47"/>
    <col min="24" max="24" width="10.42578125" style="47" customWidth="1"/>
    <col min="25" max="25" width="11.140625" style="47" customWidth="1"/>
    <col min="26" max="16384" width="9.140625" style="47"/>
  </cols>
  <sheetData>
    <row r="1" spans="1:28" ht="27" thickBot="1">
      <c r="A1" s="34"/>
      <c r="B1" s="42" t="s">
        <v>54</v>
      </c>
      <c r="C1" s="43"/>
      <c r="D1" s="43"/>
      <c r="E1" s="43"/>
      <c r="F1" s="43"/>
      <c r="G1" s="43"/>
      <c r="H1" s="43"/>
      <c r="I1" s="43"/>
      <c r="J1" s="44"/>
      <c r="K1" s="34"/>
      <c r="L1" s="34"/>
      <c r="M1" s="34"/>
      <c r="N1" s="45"/>
      <c r="P1" s="34"/>
      <c r="R1" s="34"/>
      <c r="S1" s="34"/>
    </row>
    <row r="2" spans="1:28" ht="4.5" customHeight="1">
      <c r="A2" s="34"/>
      <c r="B2" s="44"/>
      <c r="C2" s="44"/>
      <c r="D2" s="44"/>
      <c r="E2" s="44"/>
      <c r="F2" s="44"/>
      <c r="G2" s="44"/>
      <c r="H2" s="44"/>
      <c r="I2" s="44"/>
      <c r="J2" s="44"/>
      <c r="K2" s="34"/>
      <c r="L2" s="34"/>
      <c r="M2" s="34"/>
      <c r="N2" s="45"/>
      <c r="P2" s="34"/>
      <c r="R2" s="34"/>
      <c r="S2" s="34"/>
    </row>
    <row r="3" spans="1:28" ht="16.5" thickBot="1">
      <c r="A3" s="48"/>
      <c r="B3" s="35" t="s">
        <v>53</v>
      </c>
      <c r="C3" s="48"/>
      <c r="D3" s="49">
        <f>'Key financials'!B21</f>
        <v>135937</v>
      </c>
      <c r="F3" s="50" t="s">
        <v>29</v>
      </c>
      <c r="G3" s="51"/>
      <c r="H3" s="51"/>
      <c r="I3" s="52"/>
      <c r="L3" s="45"/>
      <c r="M3" s="53"/>
      <c r="N3" s="53"/>
      <c r="O3" s="47"/>
    </row>
    <row r="4" spans="1:28">
      <c r="A4" s="34"/>
      <c r="B4" s="34" t="s">
        <v>55</v>
      </c>
      <c r="C4" s="34"/>
      <c r="D4" s="225">
        <v>73729</v>
      </c>
      <c r="F4" s="34" t="s">
        <v>17</v>
      </c>
      <c r="G4" s="34"/>
      <c r="I4" s="54">
        <f>'Key financials'!C32/(1+Master!$C$11+Valuation!$D$6+Valuation!$D$7)^1+'Key financials'!C33/(1+Master!$C$11+Valuation!$D$6+Valuation!$D$7)^2+'Key financials'!C34/(1+Master!$C$11+Valuation!$D$6+Valuation!$D$7)^3+'Key financials'!C35/(1+Master!$C$11+Valuation!$D$6+Valuation!$D$7)^4+'Key financials'!C36/(1+Master!$C$11+Valuation!$D$6+Valuation!$D$7)^5+IF(IF('Key financials'!C37&gt;0,ROUND('Key financials'!C37/AVERAGE('Key financials'!C32:'Key financials'!C36),0),0)&gt;0,(IF('Key financials'!C37&gt;0,IF(IF('Key financials'!C37&gt;0,ROUND('Key financials'!C37/AVERAGE('Key financials'!C32:'Key financials'!C36),0),0)&gt;0,'Key financials'!C37/IF('Key financials'!C37&gt;0,ROUND('Key financials'!C37/AVERAGE('Key financials'!C32:'Key financials'!C36),0),0),'Key financials'!C37),0)*(1-(1+Master!C11+Valuation!D6+Valuation!D7)^(-IF('Key financials'!C37&gt;0,ROUND('Key financials'!C37/AVERAGE('Key financials'!C32:'Key financials'!C36),0),0)))/(Master!C11+Valuation!D6+Valuation!D7))/(1+Master!C11+Valuation!D6+Valuation!D7)^5,IF('Key financials'!C37&gt;0,IF(IF('Key financials'!C37&gt;0,ROUND('Key financials'!C37/AVERAGE('Key financials'!C32:'Key financials'!C36),0),0)&gt;0,'Key financials'!C37/IF('Key financials'!C37&gt;0,ROUND('Key financials'!C37/AVERAGE('Key financials'!C32:'Key financials'!C36),0),0),'Key financials'!C37),0)/(1+Master!C11+Valuation!D6+Valuation!D7)^6)</f>
        <v>21884.57880229914</v>
      </c>
      <c r="L4" s="53"/>
      <c r="M4" s="53"/>
      <c r="O4" s="47"/>
    </row>
    <row r="5" spans="1:28">
      <c r="A5" s="34"/>
      <c r="B5" s="34" t="s">
        <v>71</v>
      </c>
      <c r="C5" s="34"/>
      <c r="D5" s="225">
        <v>39831</v>
      </c>
      <c r="F5" s="34" t="s">
        <v>18</v>
      </c>
      <c r="G5" s="34"/>
      <c r="H5" s="34"/>
      <c r="I5" s="55">
        <f>I4/(5+IF('Key financials'!C37&gt;0,ROUND('Key financials'!C37/AVERAGE('Key financials'!C32:'Key financials'!C36),0),0))</f>
        <v>3126.3684003284484</v>
      </c>
      <c r="L5" s="53"/>
      <c r="M5" s="56"/>
      <c r="O5" s="47"/>
    </row>
    <row r="6" spans="1:28">
      <c r="A6" s="34"/>
      <c r="B6" s="34" t="s">
        <v>15</v>
      </c>
      <c r="D6" s="226">
        <v>6.8999999999999999E-3</v>
      </c>
      <c r="F6" s="34" t="s">
        <v>19</v>
      </c>
      <c r="G6" s="34"/>
      <c r="H6" s="34"/>
      <c r="I6" s="54">
        <f>'Key financials'!C31-I5</f>
        <v>2397.6315996715516</v>
      </c>
      <c r="L6" s="53"/>
      <c r="M6" s="56"/>
      <c r="O6" s="47"/>
    </row>
    <row r="7" spans="1:28">
      <c r="A7" s="34"/>
      <c r="B7" s="34" t="s">
        <v>70</v>
      </c>
      <c r="D7" s="226">
        <v>0</v>
      </c>
      <c r="L7" s="53"/>
      <c r="M7" s="56"/>
      <c r="O7" s="47"/>
    </row>
    <row r="8" spans="1:28" ht="13.5" customHeight="1">
      <c r="A8" s="34"/>
      <c r="B8" s="34"/>
      <c r="D8" s="227"/>
      <c r="L8" s="53"/>
      <c r="M8" s="56"/>
      <c r="O8" s="47"/>
    </row>
    <row r="9" spans="1:28" ht="16.5" thickBot="1">
      <c r="A9" s="34"/>
      <c r="B9" s="34"/>
      <c r="C9" s="58" t="s">
        <v>56</v>
      </c>
      <c r="D9" s="32" t="s">
        <v>57</v>
      </c>
      <c r="F9" s="92" t="s">
        <v>83</v>
      </c>
      <c r="G9" s="93"/>
      <c r="H9" s="93"/>
      <c r="I9" s="93"/>
      <c r="J9" s="32"/>
      <c r="K9" s="32"/>
      <c r="L9" s="32"/>
      <c r="M9" s="32"/>
      <c r="N9" s="59"/>
      <c r="O9" s="34"/>
      <c r="P9" s="34"/>
      <c r="Q9" s="34"/>
    </row>
    <row r="10" spans="1:28">
      <c r="A10" s="34"/>
      <c r="B10" s="34" t="s">
        <v>58</v>
      </c>
      <c r="C10" s="32">
        <v>10</v>
      </c>
      <c r="D10" s="32" t="s">
        <v>59</v>
      </c>
      <c r="F10" s="47" t="s">
        <v>67</v>
      </c>
      <c r="I10" s="57">
        <v>5</v>
      </c>
      <c r="K10" s="60"/>
      <c r="L10" s="60"/>
      <c r="M10" s="61"/>
      <c r="N10" s="59"/>
      <c r="O10" s="60"/>
      <c r="P10" s="60"/>
      <c r="Q10" s="60"/>
    </row>
    <row r="11" spans="1:28">
      <c r="A11" s="34"/>
      <c r="B11" s="34" t="s">
        <v>60</v>
      </c>
      <c r="C11" s="62">
        <v>4.8800000000000003E-2</v>
      </c>
      <c r="D11" s="63">
        <f>C11</f>
        <v>4.8800000000000003E-2</v>
      </c>
      <c r="F11" s="47" t="s">
        <v>75</v>
      </c>
      <c r="I11" s="94">
        <f>SUM('Key financials'!C28:L28)</f>
        <v>26884.2</v>
      </c>
      <c r="K11" s="34"/>
      <c r="L11" s="34"/>
      <c r="M11" s="64"/>
      <c r="N11" s="59"/>
      <c r="O11" s="34"/>
      <c r="P11" s="34"/>
      <c r="Q11" s="34"/>
    </row>
    <row r="12" spans="1:28">
      <c r="A12" s="34"/>
      <c r="B12" s="34" t="s">
        <v>21</v>
      </c>
      <c r="C12" s="228">
        <v>1.03</v>
      </c>
      <c r="D12" s="229">
        <v>1</v>
      </c>
      <c r="E12" s="65"/>
      <c r="F12" s="34" t="s">
        <v>9</v>
      </c>
      <c r="G12" s="65"/>
      <c r="I12" s="95">
        <f>'Key financials'!B19+'Key financials'!C19*IF('Key financials'!C27&lt;0,(Valuation!$I$10+'Key financials'!C27)/Valuation!$I$10,0)+'Key financials'!D19*IF('Key financials'!D27&lt;0,(Valuation!$I$10+'Key financials'!D27)/Valuation!$I$10,0)+'Key financials'!E19*IF('Key financials'!E27&lt;0,(Valuation!$I$10+'Key financials'!E27)/Valuation!$I$10,0)+'Key financials'!F19*IF('Key financials'!F27&lt;0,(Valuation!$I$10+'Key financials'!F27)/Valuation!$I$10,0)+'Key financials'!G19*IF('Key financials'!G27&lt;0,(Valuation!$I$10+'Key financials'!G27)/Valuation!$I$10,0)+'Key financials'!H19*IF('Key financials'!H27&lt;0,(Valuation!$I$10+'Key financials'!H27)/Valuation!$I$10,0)+'Key financials'!I19*IF('Key financials'!I27&lt;0,(Valuation!$I$10+'Key financials'!I27)/Valuation!$I$10,0)+'Key financials'!J19*IF('Key financials'!J27&lt;0,(Valuation!$I$10+'Key financials'!J27)/Valuation!$I$10,0)+'Key financials'!K19*IF('Key financials'!K27&lt;0,(Valuation!$I$10+'Key financials'!K27)/Valuation!$I$10,0)+'Key financials'!L19*IF('Key financials'!L27&lt;0,(Valuation!$I$10+'Key financials'!L27)/Valuation!$I$10,0)</f>
        <v>92566.799999999988</v>
      </c>
      <c r="K12" s="34"/>
      <c r="L12" s="34"/>
      <c r="M12" s="64"/>
      <c r="N12" s="59"/>
      <c r="O12" s="34"/>
      <c r="P12" s="34"/>
      <c r="Q12" s="34"/>
    </row>
    <row r="13" spans="1:28">
      <c r="A13" s="34"/>
      <c r="B13" s="34" t="s">
        <v>61</v>
      </c>
      <c r="C13" s="66">
        <f>Master!C17</f>
        <v>0.16655696750872162</v>
      </c>
      <c r="D13" s="67">
        <v>0.17780000000000001</v>
      </c>
      <c r="F13" s="34" t="s">
        <v>10</v>
      </c>
      <c r="I13" s="95">
        <f>'Key financials'!B19-I11</f>
        <v>6205.7999999999993</v>
      </c>
      <c r="K13" s="34"/>
      <c r="L13" s="34"/>
      <c r="M13" s="64"/>
      <c r="N13" s="59"/>
      <c r="O13" s="34"/>
      <c r="P13" s="34"/>
      <c r="Q13" s="34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8">
      <c r="A14" s="34"/>
      <c r="B14" s="34" t="s">
        <v>62</v>
      </c>
      <c r="C14" s="66">
        <v>0.35</v>
      </c>
      <c r="D14" s="65">
        <v>0.35</v>
      </c>
      <c r="E14" s="34"/>
      <c r="F14" s="47" t="s">
        <v>11</v>
      </c>
      <c r="G14" s="34"/>
      <c r="I14" s="94">
        <f>('Key financials'!B19-I11)*Valuation!D14</f>
        <v>2172.0299999999997</v>
      </c>
      <c r="J14" s="34"/>
      <c r="K14" s="34"/>
      <c r="L14" s="34"/>
      <c r="M14" s="64"/>
      <c r="N14" s="59"/>
      <c r="O14" s="34"/>
      <c r="P14" s="34"/>
      <c r="Q14" s="34"/>
      <c r="R14" s="68"/>
      <c r="S14" s="68"/>
      <c r="T14" s="34"/>
      <c r="U14" s="34"/>
      <c r="V14" s="34"/>
      <c r="W14" s="34"/>
      <c r="X14" s="34"/>
      <c r="Y14" s="34"/>
      <c r="Z14" s="34"/>
      <c r="AA14" s="34"/>
    </row>
    <row r="15" spans="1:28">
      <c r="A15" s="34"/>
      <c r="B15" s="34" t="s">
        <v>63</v>
      </c>
      <c r="C15" s="66">
        <f>((D3+Valuation!I13+Valuation!I6)*(1-Master!C17)+Valuation!I14)/('Key financials'!B10+'Key financials'!B8+Valuation!I4+'Key financials'!C12+Valuation!I12-'Key financials'!B19+Valuation!I11-'Key financials'!B2)</f>
        <v>0.31211968078601138</v>
      </c>
      <c r="D15" s="67">
        <v>0.22470000000000001</v>
      </c>
      <c r="E15" s="34"/>
      <c r="F15" s="34"/>
      <c r="G15" s="34"/>
      <c r="H15" s="34"/>
      <c r="I15" s="34"/>
      <c r="J15" s="34"/>
      <c r="K15" s="34"/>
      <c r="L15" s="34"/>
      <c r="M15" s="64"/>
      <c r="N15" s="59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>
      <c r="A16" s="34"/>
      <c r="B16" s="34" t="s">
        <v>3</v>
      </c>
      <c r="C16" s="66">
        <f>(D4+'Key financials'!B19+'Key financials'!C31-D5-I11-I5+IF(('Key financials'!B5-'Key financials'!B2-'Key financials'!B9+'Key financials'!B8)-('Key financials'!C5-'Key financials'!C2-'Key financials'!C9+'Key financials'!C8)&lt;0,('Key financials'!B16-'Key financials'!C16)*(('Key financials'!B5-'Key financials'!B2-'Key financials'!B9+'Key financials'!B8)/'Key financials'!B16),('Key financials'!B5-'Key financials'!B2-'Key financials'!B9+'Key financials'!B8)-('Key financials'!C5-'Key financials'!C2-'Key financials'!C9+'Key financials'!C8)))/C23</f>
        <v>0.33529729398442931</v>
      </c>
      <c r="D16" s="65">
        <f>Master!C12/D15</f>
        <v>8.9007565643079656E-2</v>
      </c>
      <c r="E16" s="34"/>
      <c r="F16" s="34"/>
      <c r="G16" s="34"/>
      <c r="H16" s="69"/>
      <c r="I16" s="34"/>
      <c r="J16" s="34"/>
      <c r="K16" s="34"/>
      <c r="L16" s="34"/>
      <c r="M16" s="64"/>
      <c r="N16" s="59"/>
      <c r="O16" s="34"/>
      <c r="P16" s="34"/>
      <c r="Q16" s="34"/>
      <c r="R16" s="34"/>
      <c r="S16" s="34"/>
      <c r="T16" s="34"/>
      <c r="U16" s="34"/>
      <c r="V16" s="34"/>
      <c r="X16" s="34"/>
      <c r="Y16" s="34"/>
      <c r="Z16" s="34"/>
      <c r="AA16" s="34"/>
      <c r="AB16" s="34"/>
    </row>
    <row r="17" spans="1:30">
      <c r="A17" s="34"/>
      <c r="B17" s="34" t="s">
        <v>64</v>
      </c>
      <c r="C17" s="65">
        <f>1-(Master!F3*'Key financials'!B25)/('Key financials'!B10+'Key financials'!B8+Master!F3*'Key financials'!B25+Valuation!I4)</f>
        <v>1.6213937162858572E-2</v>
      </c>
      <c r="D17" s="67">
        <v>8.5599999999999996E-2</v>
      </c>
      <c r="E17" s="34"/>
      <c r="F17" s="34"/>
      <c r="G17" s="34"/>
      <c r="H17" s="34"/>
      <c r="I17" s="34"/>
      <c r="J17" s="34"/>
      <c r="K17" s="34"/>
      <c r="L17" s="34"/>
      <c r="M17" s="46"/>
      <c r="O17" s="47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30" ht="16.5" thickBot="1">
      <c r="A18" s="34"/>
      <c r="B18" s="70" t="s">
        <v>65</v>
      </c>
      <c r="C18" s="71">
        <f>(Master!C11+Valuation!C12*C11)*(1-C17)+(Master!C11+D6+D7)*(1-C14)*(1-(Master!F3*'Key financials'!B25)/('Key financials'!B10+'Key financials'!B8+Master!F3*'Key financials'!B25+Valuation!I4))</f>
        <v>8.9294747050341489E-2</v>
      </c>
      <c r="D18" s="71">
        <f>(Master!C11+Valuation!D12*D11)*(1-D17)+(Master!C11+D6+D7)*(1-D14)*D17</f>
        <v>8.3808236000000008E-2</v>
      </c>
      <c r="E18" s="70"/>
      <c r="F18" s="70"/>
      <c r="G18" s="70"/>
      <c r="H18" s="70"/>
      <c r="I18" s="70"/>
      <c r="J18" s="34"/>
      <c r="K18" s="34"/>
      <c r="L18" s="34"/>
      <c r="M18" s="46"/>
      <c r="O18" s="47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30" ht="34.5" customHeight="1">
      <c r="A19" s="34"/>
      <c r="B19" s="72" t="s">
        <v>66</v>
      </c>
      <c r="C19" s="34"/>
      <c r="D19" s="34"/>
      <c r="E19" s="32"/>
      <c r="F19" s="32"/>
      <c r="G19" s="34"/>
      <c r="H19" s="34"/>
      <c r="I19" s="34"/>
      <c r="J19" s="34"/>
      <c r="K19" s="34"/>
      <c r="L19" s="34"/>
      <c r="M19" s="34"/>
      <c r="N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>
      <c r="A20" s="34"/>
      <c r="B20" s="75" t="s">
        <v>8</v>
      </c>
      <c r="C20" s="76" t="s">
        <v>0</v>
      </c>
      <c r="D20" s="77">
        <f>IF(C10=0," ",1)</f>
        <v>1</v>
      </c>
      <c r="E20" s="77">
        <f>IF(C10&lt;2," ",2)</f>
        <v>2</v>
      </c>
      <c r="F20" s="77">
        <f>IF(C10&lt;3," ",3)</f>
        <v>3</v>
      </c>
      <c r="G20" s="77">
        <f>IF(C10&lt;4," ",4)</f>
        <v>4</v>
      </c>
      <c r="H20" s="77">
        <f>IF(C10&lt;5," ",5)</f>
        <v>5</v>
      </c>
      <c r="I20" s="77">
        <f>IF(C10&lt;6," ",6)</f>
        <v>6</v>
      </c>
      <c r="J20" s="77">
        <f>IF(C10&lt;7," ",7)</f>
        <v>7</v>
      </c>
      <c r="K20" s="77">
        <f>IF(C10&lt;8," ",8)</f>
        <v>8</v>
      </c>
      <c r="L20" s="77">
        <f>IF(C10&lt;9," ",9)</f>
        <v>9</v>
      </c>
      <c r="M20" s="77">
        <f>IF(C10&lt;10," ",10)</f>
        <v>10</v>
      </c>
      <c r="N20" s="78" t="s">
        <v>1</v>
      </c>
      <c r="O20" s="6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>
      <c r="A21" s="34"/>
      <c r="B21" s="79" t="s">
        <v>2</v>
      </c>
      <c r="C21" s="33"/>
      <c r="D21" s="36">
        <f>1+IF(D20&lt;$C$10/2,Master!$C$13,Master!$C$12+((Master!$C$13-Master!$C$12)/($C$10/2))*($C$10-D20))</f>
        <v>1.143</v>
      </c>
      <c r="E21" s="36">
        <f>D21*(1+IF(E20&lt;$C$10/2,Master!$C$13,Master!$C$12+((Master!$C$13-Master!$C$12)/($C$10/2))*($C$10-E20)))</f>
        <v>1.306449</v>
      </c>
      <c r="F21" s="36">
        <f>E21*(1+IF(F20&lt;$C$10/2,Master!$C$13,Master!$C$12+((Master!$C$13-Master!$C$12)/($C$10/2))*($C$10-F20)))</f>
        <v>1.493271207</v>
      </c>
      <c r="G21" s="36">
        <f>F21*(1+IF(G20&lt;$C$10/2,Master!$C$13,Master!$C$12+((Master!$C$13-Master!$C$12)/($C$10/2))*($C$10-G20)))</f>
        <v>1.7068089896010001</v>
      </c>
      <c r="H21" s="36">
        <f>G21*(1+IF(H20&lt;$C$10/2,Master!$C$13,Master!$C$12+((Master!$C$13-Master!$C$12)/($C$10/2))*($C$10-H20)))</f>
        <v>1.9508826751139432</v>
      </c>
      <c r="I21" s="36">
        <f>H21*(1+IF(I20&lt;$C$10/2,Master!$C$13,Master!$C$12+((Master!$C$13-Master!$C$12)/($C$10/2))*($C$10-I20)))</f>
        <v>2.1818671838474342</v>
      </c>
      <c r="J21" s="36">
        <f>I21*(1+IF(J20&lt;$C$10/2,Master!$C$13,Master!$C$12+((Master!$C$13-Master!$C$12)/($C$10/2))*($C$10-J20)))</f>
        <v>2.3865263256923233</v>
      </c>
      <c r="K21" s="36">
        <f>J21*(1+IF(K20&lt;$C$10/2,Master!$C$13,Master!$C$12+((Master!$C$13-Master!$C$12)/($C$10/2))*($C$10-K20)))</f>
        <v>2.5516739474302317</v>
      </c>
      <c r="L21" s="36">
        <f>K21*(1+IF(L20&lt;$C$10/2,Master!$C$13,Master!$C$12+((Master!$C$13-Master!$C$12)/($C$10/2))*($C$10-L20)))</f>
        <v>2.6654786054856201</v>
      </c>
      <c r="M21" s="36">
        <f>L21*(1+IF(M20&lt;$C$10/2,Master!$C$13,Master!$C$12+((Master!$C$13-Master!$C$12)/($C$10/2))*($C$10-M20)))</f>
        <v>2.7187881775953326</v>
      </c>
      <c r="N21" s="80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>
      <c r="A22" s="34"/>
      <c r="B22" s="81" t="s">
        <v>4</v>
      </c>
      <c r="C22" s="85">
        <f>IF(Master!C19="Yes",Master!F20+Valuation!I13+Valuation!I6+Valuation!I14,(D3+Valuation!I13+Valuation!I6+Valuation!I14)*(1+Master!C13-Master!C13*Master!C1/4))</f>
        <v>157610.46159967154</v>
      </c>
      <c r="D22" s="86">
        <f>IF(Master!C19="Yes",Master!F21+Valuation!I13+Valuation!I6+Valuation!I14,C22*(1+Master!$C$13))</f>
        <v>180100.46159967154</v>
      </c>
      <c r="E22" s="86">
        <f>D22*(1+IF(E20&lt;$C$10/2,Master!$C$13,Master!$C$12+((Master!$C$13-Master!$C$12)/($C$10/2))*($C$10-E20)))</f>
        <v>205854.82760842459</v>
      </c>
      <c r="F22" s="86">
        <f>E22*(1+IF(F20&lt;$C$10/2,Master!$C$13,Master!$C$12+((Master!$C$13-Master!$C$12)/($C$10/2))*($C$10-F20)))</f>
        <v>235292.0679564293</v>
      </c>
      <c r="G22" s="86">
        <f>F22*(1+IF(G20&lt;$C$10/2,Master!$C$13,Master!$C$12+((Master!$C$13-Master!$C$12)/($C$10/2))*($C$10-G20)))</f>
        <v>268938.83367419872</v>
      </c>
      <c r="H22" s="86">
        <f>G22*(1+IF(H20&lt;$C$10/2,Master!$C$13,Master!$C$12+((Master!$C$13-Master!$C$12)/($C$10/2))*($C$10-H20)))</f>
        <v>307397.08688960911</v>
      </c>
      <c r="I22" s="86">
        <f>H22*(1+IF(I20&lt;$C$10/2,Master!$C$13,Master!$C$12+((Master!$C$13-Master!$C$12)/($C$10/2))*($C$10-I20)))</f>
        <v>343792.90197733883</v>
      </c>
      <c r="J22" s="86">
        <f>I22*(1+IF(J20&lt;$C$10/2,Master!$C$13,Master!$C$12+((Master!$C$13-Master!$C$12)/($C$10/2))*($C$10-J20)))</f>
        <v>376040.67618281319</v>
      </c>
      <c r="K22" s="86">
        <f>J22*(1+IF(K20&lt;$C$10/2,Master!$C$13,Master!$C$12+((Master!$C$13-Master!$C$12)/($C$10/2))*($C$10-K20)))</f>
        <v>402062.69097466383</v>
      </c>
      <c r="L22" s="86">
        <f>K22*(1+IF(L20&lt;$C$10/2,Master!$C$13,Master!$C$12+((Master!$C$13-Master!$C$12)/($C$10/2))*($C$10-L20)))</f>
        <v>419994.68699213385</v>
      </c>
      <c r="M22" s="86">
        <f>L22*(1+IF(M20&lt;$C$10/2,Master!$C$13,Master!$C$12+((Master!$C$13-Master!$C$12)/($C$10/2))*($C$10-M20)))</f>
        <v>428394.58073197654</v>
      </c>
      <c r="N22" s="80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>
      <c r="A23" s="34"/>
      <c r="B23" s="79" t="s">
        <v>68</v>
      </c>
      <c r="C23" s="38">
        <f>C22*(1-Master!C17)</f>
        <v>131359.34106798042</v>
      </c>
      <c r="D23" s="38">
        <f>D22*(1-($D$13-($C$10-D20)*($D$13-Master!$C$17)/$C$10))</f>
        <v>149900.98733456334</v>
      </c>
      <c r="E23" s="38">
        <f>E22*(1-($D$13-($C$10-E20)*($D$13-Master!$C$17)/$C$10))</f>
        <v>171105.38527187714</v>
      </c>
      <c r="F23" s="38">
        <f>F22*(1-($D$13-($C$10-F20)*($D$13-Master!$C$17)/$C$10))</f>
        <v>195308.91572925812</v>
      </c>
      <c r="G23" s="38">
        <f>G22*(1-($D$13-($C$10-G20)*($D$13-Master!$C$17)/$C$10))</f>
        <v>222935.72187402548</v>
      </c>
      <c r="H23" s="38">
        <f>H22*(1-($D$13-($C$10-H20)*($D$13-Master!$C$17)/$C$10))</f>
        <v>254469.92255844871</v>
      </c>
      <c r="I23" s="38">
        <f>I22*(1-($D$13-($C$10-I20)*($D$13-Master!$C$17)/$C$10))</f>
        <v>284212.63391264883</v>
      </c>
      <c r="J23" s="38">
        <f>J22*(1-($D$13-($C$10-J20)*($D$13-Master!$C$17)/$C$10))</f>
        <v>310448.99521961872</v>
      </c>
      <c r="K23" s="38">
        <f>K22*(1-($D$13-($C$10-K20)*($D$13-Master!$C$17)/$C$10))</f>
        <v>331480.02529900038</v>
      </c>
      <c r="L23" s="38">
        <f>L22*(1-($D$13-($C$10-L20)*($D$13-Master!$C$17)/$C$10))</f>
        <v>345791.83303613414</v>
      </c>
      <c r="M23" s="38">
        <f>M22*(1-($D$13-($C$10-M20)*($D$13-Master!$C$17)/$C$10))</f>
        <v>352226.02427783114</v>
      </c>
      <c r="N23" s="82">
        <f>(MAX(C23:M23)/(1-D14))*(1-D14)*(1+Master!C12)</f>
        <v>359270.54476338776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>
      <c r="A24" s="34"/>
      <c r="B24" s="83" t="s">
        <v>69</v>
      </c>
      <c r="C24" s="37">
        <f>Valuation!D4+'Key financials'!B19+'Key financials'!C31-Valuation!D5-Valuation!I11-Valuation!I5</f>
        <v>42501.431599671552</v>
      </c>
      <c r="D24" s="38">
        <f>IF(D20&lt;$C$10/2,IF(C16&lt;1,C16,Master!C13/Valuation!C15),$D$16+(($C$16-$D$16)/($C$10/2))*($C$10-D20))*D23-D25</f>
        <v>55997.1254188733</v>
      </c>
      <c r="E24" s="38">
        <f>IF(E20&lt;$C$10/2,IF(C16&lt;1,C16,Master!C13/Valuation!C15),$D$16+(($C$16-$D$16)/($C$10/2))*($C$10-E20))*E23-E25</f>
        <v>63927.11205782363</v>
      </c>
      <c r="F24" s="38">
        <f>IF(F20&lt;$C$10/2,IF(C16&lt;1,C16,Master!C13/Valuation!C15),$D$16+(($C$16-$D$16)/($C$10/2))*($C$10-F20))*F23-F25</f>
        <v>72979.9896578232</v>
      </c>
      <c r="G24" s="38">
        <f>IF(G20&lt;$C$10/2,IF(C16&lt;1,C16,Master!C13/Valuation!C15),$D$16+(($C$16-$D$16)/($C$10/2))*($C$10-G20))*G23-G25</f>
        <v>83314.744736952212</v>
      </c>
      <c r="H24" s="38">
        <f>IF(H20&lt;$C$10/2,IF(C16&lt;1,C16,Master!C13/Valuation!C15),$D$16+((IF(C16&lt;1,C16,Master!C13/Valuation!C15)-$D$16)/($C$10/2))*($C$10-H20))*H23-H25</f>
        <v>95112.871960199278</v>
      </c>
      <c r="I24" s="38">
        <f>IF(I20&lt;$C$10/2,$C$16,$D$16+((IF(C16&lt;1,C16,Master!C13/Valuation!C15)-$D$16)/($C$10/2))*($C$10-I20))*I23-I25</f>
        <v>90560.78523289357</v>
      </c>
      <c r="J24" s="38">
        <f>IF(J20&lt;$C$10/2,$C$16,$D$16+((IF(C16&lt;1,C16,Master!C13/Valuation!C15)-$D$16)/($C$10/2))*($C$10-J20))*J23-J25</f>
        <v>81717.426718127739</v>
      </c>
      <c r="K24" s="38">
        <f>IF(K20&lt;$C$10/2,$C$16,$D$16+((IF(C16&lt;1,C16,Master!C13/Valuation!C15)-$D$16)/($C$10/2))*($C$10-K20))*K23-K25</f>
        <v>68784.351371667799</v>
      </c>
      <c r="L24" s="38">
        <f>IF(L20&lt;$C$10/2,$C$16,$D$16+((IF(C16&lt;1,C16,Master!C13/Valuation!C15)-$D$16)/($C$10/2))*($C$10-L20))*L23-L25</f>
        <v>52375.789436631545</v>
      </c>
      <c r="M24" s="38">
        <f t="shared" ref="M24" si="0">IF(M20&lt;$C$10/2,$C$16,$D$16+(($C$16-$D$16)/($C$10/2))*($C$10-M20))*M23-M25</f>
        <v>33489.02791443059</v>
      </c>
      <c r="N24" s="82">
        <f>D16*N23-N25</f>
        <v>35030.924241366556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>
      <c r="A25" s="34"/>
      <c r="B25" s="79" t="s">
        <v>72</v>
      </c>
      <c r="C25" s="39">
        <f>IF(('Key financials'!B5-'Key financials'!B2-'Key financials'!B9+'Key financials'!B8)-('Key financials'!C5-'Key financials'!C2-'Key financials'!C9+'Key financials'!C8)&lt;0,('Key financials'!B16-'Key financials'!C16)*(('Key financials'!B5-'Key financials'!B2-'Key financials'!B9+'Key financials'!B8)/'Key financials'!B16),('Key financials'!B5-'Key financials'!B2-'Key financials'!B9+'Key financials'!B8)-('Key financials'!C5-'Key financials'!C2-'Key financials'!C9+'Key financials'!C8))</f>
        <v>1543</v>
      </c>
      <c r="D25" s="39">
        <f>('Key financials'!$B$16*IF(D20&lt;$C$10/2,Master!$C$13,Master!$C$12+((Master!$C$13-Master!$C$12)/($C$10/2))*($C$10-D20))*('Key financials'!B5-'Key financials'!B2-'Key financials'!B9+'Key financials'!B8)/'Key financials'!B16)</f>
        <v>-5735.73</v>
      </c>
      <c r="E25" s="39">
        <f>('Key financials'!$B$16*(E21-D21)*('Key financials'!$B$5-'Key financials'!$B$2-'Key financials'!$B$9+'Key financials'!$B$8)/'Key financials'!$B$16)</f>
        <v>-6555.9393899999977</v>
      </c>
      <c r="F25" s="39">
        <f>('Key financials'!$B$16*(F21-E21)*('Key financials'!$B$5-'Key financials'!$B$2-'Key financials'!$B$9+'Key financials'!$B$8)/'Key financials'!$B$16)</f>
        <v>-7493.4387227700026</v>
      </c>
      <c r="G25" s="39">
        <f>('Key financials'!$B$16*(G21-F21)*('Key financials'!$B$5-'Key financials'!$B$2-'Key financials'!$B$9+'Key financials'!$B$8)/'Key financials'!$B$16)</f>
        <v>-8565.0004601261135</v>
      </c>
      <c r="H25" s="39">
        <f>('Key financials'!$B$16*(H21-G21)*('Key financials'!$B$5-'Key financials'!$B$2-'Key financials'!$B$9+'Key financials'!$B$8)/'Key financials'!$B$16)</f>
        <v>-9789.7955259241462</v>
      </c>
      <c r="I25" s="39">
        <f>('Key financials'!$B$16*(I21-H21)*('Key financials'!$B$5-'Key financials'!$B$2-'Key financials'!$B$9+'Key financials'!$B$8)/'Key financials'!$B$16)</f>
        <v>-9264.788645300323</v>
      </c>
      <c r="J25" s="39">
        <f>('Key financials'!$B$16*(J21-I21)*('Key financials'!$B$5-'Key financials'!$B$2-'Key financials'!$B$9+'Key financials'!$B$8)/'Key financials'!$B$16)</f>
        <v>-8208.8781793985017</v>
      </c>
      <c r="K25" s="39">
        <f>('Key financials'!$B$16*(K21-J21)*('Key financials'!$B$5-'Key financials'!$B$2-'Key financials'!$B$9+'Key financials'!$B$8)/'Key financials'!$B$16)</f>
        <v>-6624.0711079075072</v>
      </c>
      <c r="L25" s="39">
        <f>('Key financials'!$B$16*(L21-K21)*('Key financials'!$B$5-'Key financials'!$B$2-'Key financials'!$B$9+'Key financials'!$B$8)/'Key financials'!$B$16)</f>
        <v>-4564.704834601629</v>
      </c>
      <c r="M25" s="39">
        <f>('Key financials'!$B$16*(M21-L21)*('Key financials'!$B$5-'Key financials'!$B$2-'Key financials'!$B$9+'Key financials'!$B$8)/'Key financials'!$B$16)</f>
        <v>-2138.2469373205699</v>
      </c>
      <c r="N25" s="82">
        <f>('Key financials'!B16*(1+Master!C13)^C10*(1+Master!C12)-'Key financials'!B16*(1+Master!C13)^C10)*('Key financials'!B5-'Key financials'!B2-'Key financials'!B9+'Key financials'!B8)/'Key financials'!B16</f>
        <v>-3053.1276447143346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>
      <c r="A26" s="34"/>
      <c r="B26" s="81" t="s">
        <v>5</v>
      </c>
      <c r="C26" s="87">
        <f>C23-C24-C25</f>
        <v>87314.909468308877</v>
      </c>
      <c r="D26" s="87">
        <f t="shared" ref="D26:M26" si="1">IF($C$10&lt;D20," ",D23-D24-D25)</f>
        <v>99639.591915690035</v>
      </c>
      <c r="E26" s="87">
        <f t="shared" si="1"/>
        <v>113734.21260405351</v>
      </c>
      <c r="F26" s="87">
        <f t="shared" si="1"/>
        <v>129822.36479420493</v>
      </c>
      <c r="G26" s="87">
        <f t="shared" si="1"/>
        <v>148185.97759719938</v>
      </c>
      <c r="H26" s="87">
        <f t="shared" si="1"/>
        <v>169146.84612417358</v>
      </c>
      <c r="I26" s="87">
        <f t="shared" si="1"/>
        <v>202916.63732505558</v>
      </c>
      <c r="J26" s="87">
        <f t="shared" si="1"/>
        <v>236940.44668088949</v>
      </c>
      <c r="K26" s="87">
        <f t="shared" si="1"/>
        <v>269319.74503524008</v>
      </c>
      <c r="L26" s="87">
        <f t="shared" si="1"/>
        <v>297980.7484341042</v>
      </c>
      <c r="M26" s="87">
        <f t="shared" si="1"/>
        <v>320875.24330072111</v>
      </c>
      <c r="N26" s="84">
        <f>N23-N24-N25</f>
        <v>327292.74816673552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>
      <c r="A27" s="34"/>
      <c r="B27" s="79" t="s">
        <v>6</v>
      </c>
      <c r="C27" s="40"/>
      <c r="D27" s="41">
        <f>1+IF(D20&lt;$C$10/2,$C$18,$D$18+(($C$18-$D$18)/($C$10/2))*($C$10-D20))</f>
        <v>1.0892947470503416</v>
      </c>
      <c r="E27" s="41">
        <f t="shared" ref="E27:M27" si="2">D27*(1+IF(E20&lt;$C$10/2,$C$18,$D$18+(($C$18-$D$18)/($C$10/2))*($C$10-E20)))</f>
        <v>1.1865630459514676</v>
      </c>
      <c r="F27" s="41">
        <f t="shared" si="2"/>
        <v>1.2925168929989868</v>
      </c>
      <c r="G27" s="41">
        <f t="shared" si="2"/>
        <v>1.4079318620176247</v>
      </c>
      <c r="H27" s="41">
        <f t="shared" si="2"/>
        <v>1.5336527815006049</v>
      </c>
      <c r="I27" s="41">
        <f t="shared" si="2"/>
        <v>1.668917038101136</v>
      </c>
      <c r="J27" s="41">
        <f t="shared" si="2"/>
        <v>1.814279950157724</v>
      </c>
      <c r="K27" s="41">
        <f t="shared" si="2"/>
        <v>1.9703131791885919</v>
      </c>
      <c r="L27" s="41">
        <f t="shared" si="2"/>
        <v>2.13760368010999</v>
      </c>
      <c r="M27" s="41">
        <f t="shared" si="2"/>
        <v>2.3167524738071168</v>
      </c>
      <c r="N27" s="84"/>
      <c r="S27" s="34"/>
      <c r="T27" s="34"/>
      <c r="V27" s="34"/>
      <c r="Y27" s="34"/>
      <c r="AB27" s="34"/>
      <c r="AC27" s="34"/>
    </row>
    <row r="28" spans="1:30" ht="18.75">
      <c r="A28" s="34"/>
      <c r="B28" s="88" t="s">
        <v>7</v>
      </c>
      <c r="C28" s="89"/>
      <c r="D28" s="90">
        <f t="shared" ref="D28:M28" si="3">IF($C$10&lt;D20," ",D26/D27)</f>
        <v>91471.653733298692</v>
      </c>
      <c r="E28" s="90">
        <f t="shared" si="3"/>
        <v>95851.807446821025</v>
      </c>
      <c r="F28" s="90">
        <f t="shared" si="3"/>
        <v>100441.5226581543</v>
      </c>
      <c r="G28" s="90">
        <f t="shared" si="3"/>
        <v>105250.81617575068</v>
      </c>
      <c r="H28" s="90">
        <f t="shared" si="3"/>
        <v>110290.18312650376</v>
      </c>
      <c r="I28" s="90">
        <f t="shared" si="3"/>
        <v>121585.81444882994</v>
      </c>
      <c r="J28" s="90">
        <f t="shared" si="3"/>
        <v>130597.51151430138</v>
      </c>
      <c r="K28" s="90">
        <f t="shared" si="3"/>
        <v>136688.80048102327</v>
      </c>
      <c r="L28" s="90">
        <f t="shared" si="3"/>
        <v>139399.43648430269</v>
      </c>
      <c r="M28" s="90">
        <f t="shared" si="3"/>
        <v>138502.16927725004</v>
      </c>
      <c r="N28" s="91">
        <f>N26/((Master!C11+Valuation!D12*D11)*(1-D17)+(Master!C11+D6+D7)*(1-D14)*D17-Master!C12)/M27</f>
        <v>2214012.1952720187</v>
      </c>
      <c r="S28" s="34"/>
      <c r="V28" s="34"/>
      <c r="Y28" s="34"/>
      <c r="AB28" s="34"/>
      <c r="AC28" s="34"/>
    </row>
    <row r="29" spans="1:30">
      <c r="A29" s="73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34"/>
      <c r="M29" s="34"/>
      <c r="N29" s="34"/>
      <c r="Q29" s="73"/>
      <c r="R29" s="73"/>
      <c r="S29" s="73"/>
      <c r="V29" s="34"/>
      <c r="Y29" s="34"/>
      <c r="AB29" s="34"/>
      <c r="AC29" s="34"/>
    </row>
    <row r="30" spans="1:30" ht="18.75">
      <c r="A30" s="34"/>
      <c r="B30" s="74" t="s">
        <v>73</v>
      </c>
      <c r="C30" s="241">
        <f>SUM(D28:N28)+'Key financials'!B2-('Key financials'!B10+'Key financials'!B8+Valuation!I4)</f>
        <v>3421011.3318159552</v>
      </c>
      <c r="D30" s="242"/>
      <c r="E30" s="34"/>
      <c r="F30" s="34"/>
      <c r="G30" s="34"/>
      <c r="J30" s="34"/>
      <c r="K30" s="34"/>
      <c r="L30" s="64"/>
      <c r="M30" s="34"/>
      <c r="N30" s="34"/>
      <c r="O30" s="34"/>
      <c r="P30" s="34"/>
      <c r="S30" s="34"/>
      <c r="V30" s="34"/>
      <c r="Y30" s="34"/>
      <c r="Z30" s="34"/>
    </row>
    <row r="31" spans="1:30">
      <c r="A31" s="34"/>
      <c r="K31" s="34"/>
      <c r="L31" s="34"/>
      <c r="O31" s="64"/>
      <c r="P31" s="34"/>
      <c r="Q31" s="34"/>
      <c r="R31" s="34"/>
      <c r="S31" s="34"/>
      <c r="V31" s="34"/>
      <c r="Y31" s="34"/>
      <c r="AB31" s="34"/>
      <c r="AC31" s="34"/>
    </row>
    <row r="32" spans="1:30">
      <c r="V32" s="34"/>
      <c r="Y32" s="34"/>
      <c r="Z32" s="34"/>
      <c r="AA32" s="34"/>
      <c r="AB32" s="34"/>
      <c r="AC32" s="34"/>
    </row>
    <row r="33" spans="12:29">
      <c r="V33" s="34"/>
      <c r="W33" s="34"/>
      <c r="X33" s="34"/>
      <c r="Y33" s="34"/>
      <c r="Z33" s="34"/>
      <c r="AA33" s="34"/>
      <c r="AB33" s="34"/>
      <c r="AC33" s="34"/>
    </row>
    <row r="34" spans="12:29">
      <c r="V34" s="34"/>
      <c r="W34" s="34"/>
      <c r="X34" s="34"/>
      <c r="Y34" s="34"/>
      <c r="Z34" s="34"/>
      <c r="AA34" s="34"/>
      <c r="AB34" s="34"/>
      <c r="AC34" s="34"/>
    </row>
    <row r="35" spans="12:29">
      <c r="L35" s="47" t="s">
        <v>85</v>
      </c>
      <c r="V35" s="34"/>
      <c r="W35" s="34"/>
      <c r="X35" s="34"/>
      <c r="Y35" s="34"/>
      <c r="Z35" s="34"/>
      <c r="AA35" s="34"/>
      <c r="AB35" s="34"/>
      <c r="AC35" s="34"/>
    </row>
    <row r="36" spans="12:29">
      <c r="V36" s="34"/>
      <c r="W36" s="34"/>
      <c r="X36" s="34"/>
      <c r="Y36" s="34"/>
      <c r="Z36" s="34"/>
      <c r="AA36" s="34"/>
      <c r="AB36" s="34"/>
      <c r="AC36" s="34"/>
    </row>
    <row r="37" spans="12:29">
      <c r="V37" s="34"/>
      <c r="W37" s="34"/>
      <c r="X37" s="34"/>
      <c r="Y37" s="34"/>
      <c r="Z37" s="34"/>
      <c r="AA37" s="34"/>
      <c r="AB37" s="34"/>
      <c r="AC37" s="34"/>
    </row>
    <row r="38" spans="12:29">
      <c r="V38" s="34"/>
      <c r="W38" s="34"/>
      <c r="X38" s="34"/>
      <c r="Y38" s="34"/>
      <c r="Z38" s="34"/>
      <c r="AA38" s="34"/>
      <c r="AB38" s="34"/>
      <c r="AC38" s="34"/>
    </row>
    <row r="39" spans="12:29">
      <c r="V39" s="34"/>
      <c r="W39" s="34"/>
      <c r="X39" s="34"/>
      <c r="Y39" s="34"/>
      <c r="Z39" s="34"/>
      <c r="AA39" s="34"/>
      <c r="AB39" s="34"/>
      <c r="AC39" s="34"/>
    </row>
    <row r="40" spans="12:29">
      <c r="V40" s="34"/>
      <c r="W40" s="34"/>
      <c r="X40" s="34"/>
      <c r="Y40" s="34"/>
      <c r="Z40" s="34"/>
      <c r="AA40" s="34"/>
      <c r="AB40" s="34"/>
      <c r="AC40" s="34"/>
    </row>
    <row r="41" spans="12:29">
      <c r="V41" s="34"/>
      <c r="W41" s="34"/>
      <c r="X41" s="34"/>
      <c r="Y41" s="34"/>
      <c r="Z41" s="34"/>
      <c r="AA41" s="34"/>
      <c r="AB41" s="34"/>
      <c r="AC41" s="34"/>
    </row>
    <row r="42" spans="12:29">
      <c r="V42" s="34"/>
      <c r="W42" s="34"/>
      <c r="X42" s="34"/>
      <c r="Y42" s="34"/>
      <c r="Z42" s="34"/>
      <c r="AA42" s="34"/>
      <c r="AB42" s="34"/>
      <c r="AC42" s="34"/>
    </row>
    <row r="43" spans="12:29">
      <c r="V43" s="34"/>
      <c r="W43" s="34"/>
      <c r="X43" s="34"/>
      <c r="Y43" s="34"/>
      <c r="Z43" s="34"/>
      <c r="AA43" s="34"/>
      <c r="AB43" s="34"/>
      <c r="AC43" s="34"/>
    </row>
    <row r="44" spans="12:29">
      <c r="V44" s="34"/>
      <c r="W44" s="34"/>
      <c r="X44" s="34"/>
      <c r="Y44" s="34"/>
      <c r="Z44" s="34"/>
      <c r="AA44" s="34"/>
      <c r="AB44" s="34"/>
      <c r="AC44" s="34"/>
    </row>
    <row r="45" spans="12:29">
      <c r="V45" s="34"/>
      <c r="W45" s="34"/>
      <c r="X45" s="34"/>
      <c r="Y45" s="34"/>
      <c r="Z45" s="34"/>
      <c r="AA45" s="34"/>
      <c r="AB45" s="34"/>
      <c r="AC45" s="34"/>
    </row>
    <row r="46" spans="12:29">
      <c r="V46" s="34"/>
      <c r="W46" s="34"/>
      <c r="X46" s="34"/>
      <c r="Y46" s="34"/>
      <c r="Z46" s="34"/>
      <c r="AA46" s="34"/>
      <c r="AB46" s="34"/>
      <c r="AC46" s="34"/>
    </row>
    <row r="47" spans="12:29">
      <c r="V47" s="34"/>
      <c r="W47" s="34"/>
      <c r="X47" s="34"/>
      <c r="Y47" s="34"/>
      <c r="Z47" s="34"/>
      <c r="AA47" s="34"/>
      <c r="AB47" s="34"/>
      <c r="AC47" s="34"/>
    </row>
    <row r="48" spans="12:29">
      <c r="V48" s="34"/>
      <c r="W48" s="34"/>
      <c r="X48" s="34"/>
      <c r="Y48" s="34"/>
      <c r="Z48" s="34"/>
      <c r="AA48" s="34"/>
      <c r="AB48" s="34"/>
      <c r="AC48" s="34"/>
    </row>
    <row r="49" spans="22:29">
      <c r="V49" s="34"/>
      <c r="W49" s="34"/>
      <c r="X49" s="34"/>
      <c r="Y49" s="34"/>
      <c r="Z49" s="34"/>
      <c r="AA49" s="34"/>
      <c r="AB49" s="34"/>
      <c r="AC49" s="34"/>
    </row>
    <row r="50" spans="22:29">
      <c r="V50" s="34"/>
      <c r="W50" s="34"/>
      <c r="X50" s="34"/>
      <c r="Y50" s="34"/>
      <c r="Z50" s="34"/>
      <c r="AA50" s="34"/>
      <c r="AB50" s="34"/>
      <c r="AC50" s="34"/>
    </row>
    <row r="51" spans="22:29">
      <c r="V51" s="34"/>
      <c r="W51" s="34"/>
      <c r="X51" s="34"/>
      <c r="Y51" s="34"/>
      <c r="Z51" s="34"/>
      <c r="AA51" s="34"/>
      <c r="AB51" s="34"/>
      <c r="AC51" s="34"/>
    </row>
    <row r="52" spans="22:29">
      <c r="V52" s="34"/>
      <c r="W52" s="34"/>
      <c r="X52" s="34"/>
      <c r="Y52" s="34"/>
      <c r="Z52" s="34"/>
      <c r="AA52" s="34"/>
      <c r="AB52" s="34"/>
      <c r="AC52" s="34"/>
    </row>
    <row r="53" spans="22:29">
      <c r="V53" s="34"/>
      <c r="W53" s="34"/>
      <c r="X53" s="34"/>
      <c r="Y53" s="34"/>
      <c r="Z53" s="34"/>
      <c r="AA53" s="34"/>
      <c r="AB53" s="34"/>
      <c r="AC53" s="34"/>
    </row>
    <row r="54" spans="22:29">
      <c r="V54" s="34"/>
      <c r="W54" s="34"/>
      <c r="X54" s="34"/>
      <c r="Y54" s="34"/>
      <c r="Z54" s="34"/>
      <c r="AA54" s="34"/>
      <c r="AB54" s="34"/>
      <c r="AC54" s="34"/>
    </row>
    <row r="55" spans="22:29">
      <c r="V55" s="34"/>
      <c r="W55" s="34"/>
      <c r="X55" s="34"/>
      <c r="Y55" s="34"/>
      <c r="Z55" s="34"/>
      <c r="AA55" s="34"/>
      <c r="AB55" s="34"/>
      <c r="AC55" s="34"/>
    </row>
    <row r="56" spans="22:29">
      <c r="V56" s="34"/>
      <c r="W56" s="34"/>
      <c r="X56" s="34"/>
      <c r="Y56" s="34"/>
      <c r="Z56" s="34"/>
      <c r="AA56" s="34"/>
      <c r="AB56" s="34"/>
      <c r="AC56" s="34"/>
    </row>
    <row r="57" spans="22:29">
      <c r="V57" s="34"/>
      <c r="W57" s="34"/>
      <c r="X57" s="34"/>
      <c r="Y57" s="34"/>
      <c r="Z57" s="34"/>
      <c r="AA57" s="34"/>
      <c r="AB57" s="34"/>
      <c r="AC57" s="34"/>
    </row>
    <row r="58" spans="22:29">
      <c r="V58" s="34"/>
      <c r="W58" s="34"/>
      <c r="X58" s="34"/>
      <c r="Y58" s="34"/>
      <c r="Z58" s="34"/>
      <c r="AA58" s="34"/>
      <c r="AB58" s="34"/>
      <c r="AC58" s="34"/>
    </row>
    <row r="59" spans="22:29">
      <c r="V59" s="34"/>
      <c r="W59" s="34"/>
      <c r="X59" s="34"/>
      <c r="Y59" s="34"/>
      <c r="Z59" s="34"/>
      <c r="AA59" s="34"/>
      <c r="AB59" s="34"/>
      <c r="AC59" s="34"/>
    </row>
    <row r="60" spans="22:29">
      <c r="V60" s="34"/>
      <c r="W60" s="34"/>
      <c r="X60" s="34"/>
      <c r="Y60" s="34"/>
      <c r="Z60" s="34"/>
      <c r="AA60" s="34"/>
      <c r="AB60" s="34"/>
      <c r="AC60" s="34"/>
    </row>
    <row r="61" spans="22:29">
      <c r="V61" s="34"/>
      <c r="W61" s="34"/>
      <c r="X61" s="34"/>
      <c r="Y61" s="34"/>
      <c r="Z61" s="34"/>
      <c r="AA61" s="34"/>
      <c r="AB61" s="34"/>
      <c r="AC61" s="34"/>
    </row>
    <row r="62" spans="22:29">
      <c r="V62" s="34"/>
      <c r="W62" s="34"/>
      <c r="X62" s="34"/>
      <c r="Y62" s="34"/>
      <c r="Z62" s="34"/>
      <c r="AA62" s="34"/>
      <c r="AB62" s="34"/>
      <c r="AC62" s="34"/>
    </row>
    <row r="63" spans="22:29">
      <c r="V63" s="34"/>
      <c r="W63" s="34"/>
      <c r="X63" s="34"/>
      <c r="Y63" s="34"/>
      <c r="Z63" s="34"/>
      <c r="AA63" s="34"/>
      <c r="AB63" s="34"/>
      <c r="AC63" s="34"/>
    </row>
    <row r="64" spans="22:29">
      <c r="V64" s="34"/>
      <c r="W64" s="34"/>
      <c r="X64" s="34"/>
      <c r="Y64" s="34"/>
      <c r="Z64" s="34"/>
      <c r="AA64" s="34"/>
      <c r="AB64" s="34"/>
      <c r="AC64" s="34"/>
    </row>
    <row r="65" spans="22:29">
      <c r="V65" s="34"/>
      <c r="W65" s="34"/>
      <c r="X65" s="34"/>
      <c r="Y65" s="34"/>
      <c r="Z65" s="34"/>
      <c r="AA65" s="34"/>
      <c r="AB65" s="34"/>
      <c r="AC65" s="34"/>
    </row>
    <row r="66" spans="22:29">
      <c r="V66" s="34"/>
      <c r="W66" s="34"/>
      <c r="X66" s="34"/>
      <c r="Y66" s="34"/>
      <c r="Z66" s="34"/>
      <c r="AA66" s="34"/>
      <c r="AB66" s="34"/>
      <c r="AC66" s="34"/>
    </row>
    <row r="67" spans="22:29">
      <c r="V67" s="34"/>
      <c r="W67" s="34"/>
      <c r="X67" s="34"/>
      <c r="Y67" s="34"/>
      <c r="Z67" s="34"/>
      <c r="AA67" s="34"/>
      <c r="AB67" s="34"/>
      <c r="AC67" s="34"/>
    </row>
    <row r="68" spans="22:29">
      <c r="V68" s="34"/>
      <c r="W68" s="34"/>
      <c r="X68" s="34"/>
      <c r="Y68" s="34"/>
      <c r="Z68" s="34"/>
      <c r="AA68" s="34"/>
      <c r="AB68" s="34"/>
      <c r="AC68" s="34"/>
    </row>
    <row r="69" spans="22:29">
      <c r="V69" s="34"/>
      <c r="W69" s="34"/>
      <c r="X69" s="34"/>
      <c r="Y69" s="34"/>
      <c r="Z69" s="34"/>
      <c r="AA69" s="34"/>
      <c r="AB69" s="34"/>
      <c r="AC69" s="34"/>
    </row>
    <row r="70" spans="22:29">
      <c r="V70" s="34"/>
      <c r="W70" s="34"/>
      <c r="X70" s="34"/>
      <c r="Y70" s="34"/>
      <c r="Z70" s="34"/>
      <c r="AA70" s="34"/>
      <c r="AB70" s="34"/>
      <c r="AC70" s="34"/>
    </row>
    <row r="71" spans="22:29">
      <c r="V71" s="34"/>
      <c r="W71" s="34"/>
      <c r="X71" s="34"/>
      <c r="Y71" s="34"/>
      <c r="Z71" s="34"/>
      <c r="AA71" s="34"/>
      <c r="AB71" s="34"/>
      <c r="AC71" s="34"/>
    </row>
    <row r="72" spans="22:29">
      <c r="V72" s="34"/>
      <c r="W72" s="34"/>
      <c r="X72" s="34"/>
      <c r="Y72" s="34"/>
      <c r="Z72" s="34"/>
      <c r="AA72" s="34"/>
      <c r="AB72" s="34"/>
      <c r="AC72" s="34"/>
    </row>
    <row r="73" spans="22:29">
      <c r="V73" s="34"/>
      <c r="W73" s="34"/>
      <c r="X73" s="34"/>
      <c r="Y73" s="34"/>
      <c r="Z73" s="34"/>
      <c r="AA73" s="34"/>
      <c r="AB73" s="34"/>
      <c r="AC73" s="34"/>
    </row>
    <row r="74" spans="22:29">
      <c r="V74" s="34"/>
      <c r="W74" s="34"/>
      <c r="X74" s="34"/>
      <c r="Y74" s="34"/>
      <c r="Z74" s="34"/>
      <c r="AA74" s="34"/>
      <c r="AB74" s="34"/>
      <c r="AC74" s="34"/>
    </row>
    <row r="75" spans="22:29">
      <c r="V75" s="34"/>
      <c r="W75" s="34"/>
      <c r="X75" s="34"/>
      <c r="Y75" s="34"/>
      <c r="Z75" s="34"/>
      <c r="AA75" s="34"/>
      <c r="AB75" s="34"/>
      <c r="AC75" s="34"/>
    </row>
    <row r="76" spans="22:29">
      <c r="V76" s="34"/>
      <c r="W76" s="34"/>
      <c r="X76" s="34"/>
      <c r="Y76" s="34"/>
      <c r="Z76" s="34"/>
      <c r="AA76" s="34"/>
      <c r="AB76" s="34"/>
      <c r="AC76" s="34"/>
    </row>
    <row r="77" spans="22:29">
      <c r="V77" s="34"/>
      <c r="W77" s="34"/>
      <c r="X77" s="34"/>
      <c r="Y77" s="34"/>
      <c r="Z77" s="34"/>
      <c r="AA77" s="34"/>
      <c r="AB77" s="34"/>
      <c r="AC77" s="34"/>
    </row>
    <row r="78" spans="22:29">
      <c r="V78" s="34"/>
      <c r="W78" s="34"/>
      <c r="X78" s="34"/>
      <c r="Y78" s="34"/>
      <c r="Z78" s="34"/>
      <c r="AA78" s="34"/>
      <c r="AB78" s="34"/>
      <c r="AC78" s="34"/>
    </row>
    <row r="79" spans="22:29">
      <c r="V79" s="34"/>
      <c r="W79" s="34"/>
      <c r="X79" s="34"/>
      <c r="Y79" s="34"/>
      <c r="Z79" s="34"/>
      <c r="AA79" s="34"/>
      <c r="AB79" s="34"/>
      <c r="AC79" s="34"/>
    </row>
    <row r="80" spans="22:29">
      <c r="V80" s="34"/>
      <c r="W80" s="34"/>
      <c r="X80" s="34"/>
      <c r="Y80" s="34"/>
      <c r="Z80" s="34"/>
      <c r="AA80" s="34"/>
      <c r="AB80" s="34"/>
      <c r="AC80" s="34"/>
    </row>
  </sheetData>
  <sheetProtection formatCells="0" formatColumns="0" formatRows="0" insertColumns="0" insertRows="0" deleteColumns="0" deleteRows="0"/>
  <mergeCells count="1">
    <mergeCell ref="C30:D30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3E93-9CBB-4849-8103-ABBA320EEDF6}">
  <dimension ref="A1:J25"/>
  <sheetViews>
    <sheetView workbookViewId="0">
      <selection activeCell="D4" sqref="D4"/>
    </sheetView>
  </sheetViews>
  <sheetFormatPr defaultRowHeight="15"/>
  <cols>
    <col min="1" max="1" width="6.28515625" customWidth="1"/>
    <col min="2" max="2" width="33.85546875" customWidth="1"/>
    <col min="3" max="3" width="11.42578125" customWidth="1"/>
    <col min="4" max="9" width="10.28515625" customWidth="1"/>
    <col min="10" max="10" width="11.28515625" customWidth="1"/>
  </cols>
  <sheetData>
    <row r="1" spans="1:10" ht="16.5" thickBot="1">
      <c r="A1" s="151"/>
      <c r="B1" s="199" t="s">
        <v>100</v>
      </c>
      <c r="C1" s="212" t="s">
        <v>101</v>
      </c>
      <c r="D1" s="211">
        <v>2022</v>
      </c>
      <c r="E1" s="152">
        <v>2021</v>
      </c>
      <c r="F1" s="152">
        <v>2020</v>
      </c>
      <c r="G1" s="152">
        <v>2019</v>
      </c>
      <c r="H1" s="153">
        <v>2018</v>
      </c>
      <c r="I1" s="153">
        <v>2017</v>
      </c>
      <c r="J1" s="154"/>
    </row>
    <row r="2" spans="1:10" ht="15.75">
      <c r="A2" s="243" t="s">
        <v>102</v>
      </c>
      <c r="B2" s="200" t="s">
        <v>103</v>
      </c>
      <c r="C2" s="213">
        <f>'Key financials'!B24/'Key financials'!C12</f>
        <v>0.30543934272546502</v>
      </c>
      <c r="D2" s="189">
        <f>'Key financials'!C24/'Key financials'!D12</f>
        <v>0.37929506065696506</v>
      </c>
      <c r="E2" s="169">
        <f>'Key financials'!D24/'Key financials'!E12</f>
        <v>0.42738200879630306</v>
      </c>
      <c r="F2" s="169">
        <f>'Key financials'!E24/'Key financials'!F12</f>
        <v>0.43449099926745205</v>
      </c>
      <c r="G2" s="169">
        <f>'Key financials'!F24/'Key financials'!G12</f>
        <v>0.51228272811786912</v>
      </c>
      <c r="H2" s="169">
        <f>'Key financials'!G24/'Key financials'!H12</f>
        <v>0.51791148228293216</v>
      </c>
      <c r="I2" s="179">
        <f>'Key financials'!H24/'Key financials'!I12</f>
        <v>0.43272745040555066</v>
      </c>
      <c r="J2" s="155"/>
    </row>
    <row r="3" spans="1:10" ht="15.75">
      <c r="A3" s="244"/>
      <c r="B3" s="201" t="s">
        <v>104</v>
      </c>
      <c r="C3" s="214">
        <f>'Key financials'!B21/'Key financials'!C7</f>
        <v>0.21960636701276084</v>
      </c>
      <c r="D3" s="190">
        <f>'Key financials'!C21/'Key financials'!D7</f>
        <v>0.25095135728274004</v>
      </c>
      <c r="E3" s="170">
        <f>'Key financials'!D21/'Key financials'!E7</f>
        <v>0.26562955123599435</v>
      </c>
      <c r="F3" s="170">
        <f>'Key financials'!E21/'Key financials'!F7</f>
        <v>0.2426351277272229</v>
      </c>
      <c r="G3" s="170">
        <f>'Key financials'!F21/'Key financials'!G7</f>
        <v>0.24981499734854498</v>
      </c>
      <c r="H3" s="170">
        <f>'Key financials'!G21/'Key financials'!H7</f>
        <v>0.23203932149838538</v>
      </c>
      <c r="I3" s="180">
        <f>'Key financials'!H21/'Key financials'!I7</f>
        <v>0.18481204371920323</v>
      </c>
      <c r="J3" s="155"/>
    </row>
    <row r="4" spans="1:10" ht="15.75">
      <c r="A4" s="244"/>
      <c r="B4" s="202" t="s">
        <v>105</v>
      </c>
      <c r="C4" s="215">
        <f>'Key financials'!B21/'Key financials'!B16</f>
        <v>0.45953849066298863</v>
      </c>
      <c r="D4" s="191">
        <f>'Key financials'!C21/'Key financials'!C16</f>
        <v>0.45300362323948629</v>
      </c>
      <c r="E4" s="171">
        <f>'Key financials'!D21/'Key financials'!D16</f>
        <v>0.44644299573273716</v>
      </c>
      <c r="F4" s="171">
        <f>'Key financials'!E21/'Key financials'!E16</f>
        <v>0.41772880636104098</v>
      </c>
      <c r="G4" s="171">
        <f>'Key financials'!F21/'Key financials'!F16</f>
        <v>0.4205527815604983</v>
      </c>
      <c r="H4" s="171">
        <f>'Key financials'!G21/'Key financials'!G16</f>
        <v>0.41594878872971303</v>
      </c>
      <c r="I4" s="181">
        <f>'Key financials'!H21/'Key financials'!H16</f>
        <v>0.37030381428521486</v>
      </c>
      <c r="J4" s="155"/>
    </row>
    <row r="5" spans="1:10" ht="15.75">
      <c r="A5" s="244"/>
      <c r="B5" s="203" t="s">
        <v>106</v>
      </c>
      <c r="C5" s="215">
        <f>'Key financials'!B17/'Key financials'!B16</f>
        <v>0.31024772490635943</v>
      </c>
      <c r="D5" s="191">
        <f>'Key financials'!C17/'Key financials'!C16</f>
        <v>0.3095649292974863</v>
      </c>
      <c r="E5" s="171">
        <f>'Key financials'!D17/'Key financials'!D16</f>
        <v>0.30235556172028621</v>
      </c>
      <c r="F5" s="171">
        <f>'Key financials'!E17/'Key financials'!E16</f>
        <v>0.31079914116508978</v>
      </c>
      <c r="G5" s="171">
        <f>'Key financials'!F17/'Key financials'!F16</f>
        <v>0.31598325515710901</v>
      </c>
      <c r="H5" s="171">
        <f>'Key financials'!G17/'Key financials'!G16</f>
        <v>0.31074199228975297</v>
      </c>
      <c r="I5" s="181">
        <f>'Key financials'!H17/'Key financials'!H16</f>
        <v>0.32218998007202043</v>
      </c>
      <c r="J5" s="155"/>
    </row>
    <row r="6" spans="1:10" ht="15.75">
      <c r="A6" s="244"/>
      <c r="B6" s="203" t="s">
        <v>107</v>
      </c>
      <c r="C6" s="215">
        <f>'Key financials'!B20/'Key financials'!B16</f>
        <v>0.11159114572769191</v>
      </c>
      <c r="D6" s="191">
        <f>'Key financials'!C20/'Key financials'!C16</f>
        <v>0.11587669707180218</v>
      </c>
      <c r="E6" s="171">
        <f>'Key financials'!D20/'Key financials'!D16</f>
        <v>0.13081241177862452</v>
      </c>
      <c r="F6" s="171">
        <f>'Key financials'!E20/'Key financials'!E16</f>
        <v>0.14314229761932851</v>
      </c>
      <c r="G6" s="171">
        <f>'Key financials'!F20/'Key financials'!F16</f>
        <v>0.13983456902204064</v>
      </c>
      <c r="H6" s="171">
        <f>'Key financials'!G20/'Key financials'!G16</f>
        <v>0.15006425205844556</v>
      </c>
      <c r="I6" s="181">
        <f>'Key financials'!H20/'Key financials'!H16</f>
        <v>0.17277208684403733</v>
      </c>
      <c r="J6" s="155"/>
    </row>
    <row r="7" spans="1:10" ht="15.75">
      <c r="A7" s="244"/>
      <c r="B7" s="204" t="s">
        <v>108</v>
      </c>
      <c r="C7" s="216">
        <f>'Key financials'!B16/'Key financials'!B7</f>
        <v>0.46485665929652031</v>
      </c>
      <c r="D7" s="192">
        <f>'Key financials'!C16/'Key financials'!C7</f>
        <v>0.45835642153592149</v>
      </c>
      <c r="E7" s="172">
        <f>'Key financials'!D16/'Key financials'!D7</f>
        <v>0.47860153896318164</v>
      </c>
      <c r="F7" s="172">
        <f>'Key financials'!E16/'Key financials'!E7</f>
        <v>0.51438676039380937</v>
      </c>
      <c r="G7" s="172">
        <f>'Key financials'!F16/'Key financials'!F7</f>
        <v>0.54344370134853637</v>
      </c>
      <c r="H7" s="172">
        <f>'Key financials'!G16/'Key financials'!G7</f>
        <v>0.50359069923512267</v>
      </c>
      <c r="I7" s="182">
        <f>'Key financials'!H16/'Key financials'!H7</f>
        <v>0.47464247903329121</v>
      </c>
      <c r="J7" s="155"/>
    </row>
    <row r="8" spans="1:10" ht="25.5">
      <c r="A8" s="244"/>
      <c r="B8" s="203" t="s">
        <v>109</v>
      </c>
      <c r="C8" s="217">
        <f>'Key financials'!B3*365/'Key financials'!B16</f>
        <v>65.265472665071059</v>
      </c>
      <c r="D8" s="193">
        <f>'Key financials'!C3*365/'Key financials'!C16</f>
        <v>89.930090510496115</v>
      </c>
      <c r="E8" s="173">
        <f>'Key financials'!D3*365/'Key financials'!D16</f>
        <v>83.273879945496532</v>
      </c>
      <c r="F8" s="173">
        <f>'Key financials'!E3*365/'Key financials'!E16</f>
        <v>83.859660713021725</v>
      </c>
      <c r="G8" s="173">
        <f>'Key financials'!F3*365/'Key financials'!F16</f>
        <v>81.481136833610734</v>
      </c>
      <c r="H8" s="173">
        <f>'Key financials'!G3*365/'Key financials'!G16</f>
        <v>82.609674694207797</v>
      </c>
      <c r="I8" s="183">
        <f>'Key financials'!H3*365/'Key financials'!H16</f>
        <v>81.697828899066536</v>
      </c>
      <c r="J8" s="155"/>
    </row>
    <row r="9" spans="1:10" ht="15.75">
      <c r="A9" s="244"/>
      <c r="B9" s="203" t="s">
        <v>110</v>
      </c>
      <c r="C9" s="217">
        <f>'Key financials'!B4*365/'Key financials'!B17</f>
        <v>4.4941432852083905</v>
      </c>
      <c r="D9" s="193">
        <f>'Key financials'!C4*365/'Key financials'!C17</f>
        <v>3.8980542177591055</v>
      </c>
      <c r="E9" s="173">
        <f>'Key financials'!D4*365/'Key financials'!D17</f>
        <v>6.1363575033057183</v>
      </c>
      <c r="F9" s="173">
        <f>'Key financials'!E4*365/'Key financials'!E17</f>
        <v>13.854516192703034</v>
      </c>
      <c r="G9" s="173">
        <f>'Key financials'!F4*365/'Key financials'!F17</f>
        <v>21.80095770151636</v>
      </c>
      <c r="H9" s="173">
        <f>'Key financials'!G4*365/'Key financials'!G17</f>
        <v>18.420508500536069</v>
      </c>
      <c r="I9" s="183">
        <f>'Key financials'!H4*365/'Key financials'!H17</f>
        <v>15.010959677069318</v>
      </c>
      <c r="J9" s="155"/>
    </row>
    <row r="10" spans="1:10" ht="16.5" thickBot="1">
      <c r="A10" s="245"/>
      <c r="B10" s="205" t="s">
        <v>111</v>
      </c>
      <c r="C10" s="218">
        <f>C8+C9-('Key financials'!B9*365/'Key financials'!B17)</f>
        <v>-467.13539903201422</v>
      </c>
      <c r="D10" s="194">
        <f>D8+D9-('Key financials'!C9*365/'Key financials'!C17)</f>
        <v>-493.03264474243281</v>
      </c>
      <c r="E10" s="174">
        <f>E8+E9-('Key financials'!D9*365/'Key financials'!D17)</f>
        <v>-527.60395690044345</v>
      </c>
      <c r="F10" s="174">
        <f>F8+F9-('Key financials'!E9*365/'Key financials'!E17)</f>
        <v>-479.45942587580663</v>
      </c>
      <c r="G10" s="174">
        <f>G8+G9-('Key financials'!F9*365/'Key financials'!F17)</f>
        <v>-450.66730690142521</v>
      </c>
      <c r="H10" s="174">
        <f>H8+H9-('Key financials'!G9*365/'Key financials'!G17)</f>
        <v>-518.50965828174571</v>
      </c>
      <c r="I10" s="184">
        <f>I8+I9-('Key financials'!H9*365/'Key financials'!H17)</f>
        <v>-476.08408437841939</v>
      </c>
      <c r="J10" s="155"/>
    </row>
    <row r="11" spans="1:10" ht="15.75">
      <c r="A11" s="246" t="s">
        <v>112</v>
      </c>
      <c r="B11" s="206" t="s">
        <v>113</v>
      </c>
      <c r="C11" s="219">
        <f>'Key financials'!B2/('Key financials'!B8+'Key financials'!B10)</f>
        <v>2.3609516756156266</v>
      </c>
      <c r="D11" s="195">
        <f>'Key financials'!C2/('Key financials'!C8+'Key financials'!C10)</f>
        <v>2.1914903478482537</v>
      </c>
      <c r="E11" s="175">
        <f>'Key financials'!D2/('Key financials'!D8+'Key financials'!D10)</f>
        <v>1.6818353852661576</v>
      </c>
      <c r="F11" s="175">
        <f>'Key financials'!E2/('Key financials'!E8+'Key financials'!E10)</f>
        <v>2.355399369138599</v>
      </c>
      <c r="G11" s="175">
        <f>'Key financials'!F2/('Key financials'!F8+'Key financials'!F10)</f>
        <v>2.104357084028043</v>
      </c>
      <c r="H11" s="175">
        <f>'Key financials'!G2/('Key financials'!G8+'Key financials'!G10)</f>
        <v>2.2414955456953187</v>
      </c>
      <c r="I11" s="185">
        <f>'Key financials'!H2/('Key financials'!H8+'Key financials'!H10)</f>
        <v>2.1559050641906294</v>
      </c>
      <c r="J11" s="155"/>
    </row>
    <row r="12" spans="1:10" ht="15.75">
      <c r="A12" s="247"/>
      <c r="B12" s="207" t="s">
        <v>114</v>
      </c>
      <c r="C12" s="215">
        <f>('Key financials'!B7-'Key financials'!B12)/'Key financials'!B7</f>
        <v>0.4294406703218821</v>
      </c>
      <c r="D12" s="191">
        <f>('Key financials'!C7-'Key financials'!C12)/'Key financials'!C7</f>
        <v>0.44510931287893596</v>
      </c>
      <c r="E12" s="171">
        <f>('Key financials'!D7-'Key financials'!D12)/'Key financials'!D7</f>
        <v>0.47579774407756903</v>
      </c>
      <c r="F12" s="171">
        <f>('Key financials'!E7-'Key financials'!E12)/'Key financials'!E7</f>
        <v>0.499429578422044</v>
      </c>
      <c r="G12" s="171">
        <f>('Key financials'!F7-'Key financials'!F12)/'Key financials'!F7</f>
        <v>0.54352044731937288</v>
      </c>
      <c r="H12" s="171">
        <f>('Key financials'!G7-'Key financials'!G12)/'Key financials'!G7</f>
        <v>0.57460475344464446</v>
      </c>
      <c r="I12" s="181">
        <f>('Key financials'!H7-'Key financials'!H12)/'Key financials'!H7</f>
        <v>0.6073691302342098</v>
      </c>
      <c r="J12" s="155"/>
    </row>
    <row r="13" spans="1:10" ht="15.75">
      <c r="A13" s="247"/>
      <c r="B13" s="207" t="s">
        <v>115</v>
      </c>
      <c r="C13" s="220">
        <f>'Key financials'!B21/'Key financials'!B22</f>
        <v>54.353058776489405</v>
      </c>
      <c r="D13" s="196">
        <f>'Key financials'!C21/'Key financials'!C22</f>
        <v>53.89014675052411</v>
      </c>
      <c r="E13" s="176">
        <f>'Key financials'!D21/'Key financials'!D22</f>
        <v>37.285519591141394</v>
      </c>
      <c r="F13" s="176">
        <f>'Key financials'!E21/'Key financials'!E22</f>
        <v>44.981199186991873</v>
      </c>
      <c r="G13" s="176">
        <f>'Key financials'!F21/'Key financials'!F22</f>
        <v>40.418322830828892</v>
      </c>
      <c r="H13" s="176">
        <f>'Key financials'!G21/'Key financials'!G22</f>
        <v>29.80221653878943</v>
      </c>
      <c r="I13" s="186">
        <f>'Key financials'!H21/'Key financials'!H22</f>
        <v>20.439598610575068</v>
      </c>
      <c r="J13" s="155"/>
    </row>
    <row r="14" spans="1:10" ht="15.75">
      <c r="A14" s="247"/>
      <c r="B14" s="207" t="s">
        <v>116</v>
      </c>
      <c r="C14" s="220">
        <f>'Key financials'!B5/'Key financials'!B9</f>
        <v>1.4005303860855136</v>
      </c>
      <c r="D14" s="196">
        <f>'Key financials'!C5/'Key financials'!C9</f>
        <v>1.3534464445042416</v>
      </c>
      <c r="E14" s="176">
        <f>'Key financials'!D5/'Key financials'!D9</f>
        <v>1.2749549031815206</v>
      </c>
      <c r="F14" s="176">
        <f>'Key financials'!E5/'Key financials'!E9</f>
        <v>1.7691672507657299</v>
      </c>
      <c r="G14" s="176">
        <f>'Key financials'!F5/'Key financials'!F9</f>
        <v>1.7846069708251824</v>
      </c>
      <c r="H14" s="176">
        <f>'Key financials'!G5/'Key financials'!G9</f>
        <v>2.0799936835218875</v>
      </c>
      <c r="I14" s="186">
        <f>'Key financials'!H5/'Key financials'!H9</f>
        <v>2.5157654542940118</v>
      </c>
      <c r="J14" s="155"/>
    </row>
    <row r="15" spans="1:10" ht="15.75">
      <c r="A15" s="247"/>
      <c r="B15" s="207" t="s">
        <v>117</v>
      </c>
      <c r="C15" s="220">
        <f>('Key financials'!B5-'Key financials'!B4)/'Key financials'!B9</f>
        <v>1.3921597676968207</v>
      </c>
      <c r="D15" s="196">
        <f>('Key financials'!C5-'Key financials'!C4)/'Key financials'!C9</f>
        <v>1.3468042317551587</v>
      </c>
      <c r="E15" s="176">
        <f>('Key financials'!D5-'Key financials'!D4)/'Key financials'!D9</f>
        <v>1.2650096579027186</v>
      </c>
      <c r="F15" s="176">
        <f>('Key financials'!E5-'Key financials'!E4)/'Key financials'!E9</f>
        <v>1.7451631796752729</v>
      </c>
      <c r="G15" s="176">
        <f>('Key financials'!F5-'Key financials'!F4)/'Key financials'!F9</f>
        <v>1.7452514671546664</v>
      </c>
      <c r="H15" s="176">
        <f>('Key financials'!G5-'Key financials'!G4)/'Key financials'!G9</f>
        <v>2.0502611186933914</v>
      </c>
      <c r="I15" s="186">
        <f>('Key financials'!H5-'Key financials'!H4)/'Key financials'!H9</f>
        <v>2.4895588438666851</v>
      </c>
      <c r="J15" s="155"/>
    </row>
    <row r="16" spans="1:10" ht="26.25" thickBot="1">
      <c r="A16" s="248"/>
      <c r="B16" s="208" t="s">
        <v>118</v>
      </c>
      <c r="C16" s="221">
        <f>('Key financials'!B5-'Key financials'!B9)/'Key financials'!B16</f>
        <v>0.18278501210228118</v>
      </c>
      <c r="D16" s="197">
        <f>('Key financials'!C5-'Key financials'!C9)/'Key financials'!C16</f>
        <v>0.1759209654452919</v>
      </c>
      <c r="E16" s="177">
        <f>('Key financials'!D5-'Key financials'!D9)/'Key financials'!D16</f>
        <v>0.14053410138624847</v>
      </c>
      <c r="F16" s="177">
        <f>('Key financials'!E5-'Key financials'!E9)/'Key financials'!E16</f>
        <v>0.37801948894603971</v>
      </c>
      <c r="G16" s="177">
        <f>('Key financials'!F5-'Key financials'!F9)/'Key financials'!F16</f>
        <v>0.37626468956473497</v>
      </c>
      <c r="H16" s="177">
        <f>('Key financials'!G5-'Key financials'!G9)/'Key financials'!G16</f>
        <v>0.56963614297272858</v>
      </c>
      <c r="I16" s="187">
        <f>('Key financials'!H5-'Key financials'!H9)/'Key financials'!H16</f>
        <v>0.76638814110408005</v>
      </c>
      <c r="J16" s="155"/>
    </row>
    <row r="17" spans="1:10" ht="15.75">
      <c r="A17" s="243" t="s">
        <v>119</v>
      </c>
      <c r="B17" s="209" t="s">
        <v>120</v>
      </c>
      <c r="C17" s="213">
        <f>'Key financials'!B16/'Key financials'!C16</f>
        <v>1.0426047849318352</v>
      </c>
      <c r="D17" s="189">
        <f>'Key financials'!C16/'Key financials'!D16</f>
        <v>1.1574807646804448</v>
      </c>
      <c r="E17" s="169">
        <f>'Key financials'!D16/'Key financials'!E16</f>
        <v>1.1566996201307127</v>
      </c>
      <c r="F17" s="169">
        <f>'Key financials'!E16/'Key financials'!F16</f>
        <v>1.0688202955565642</v>
      </c>
      <c r="G17" s="169">
        <f>'Key financials'!F16/'Key financials'!G16</f>
        <v>1.1795607062967017</v>
      </c>
      <c r="H17" s="169">
        <f>'Key financials'!G16/'Key financials'!H16</f>
        <v>1.175317274411775</v>
      </c>
      <c r="I17" s="179">
        <f>'Key financials'!H16/'Key financials'!I16</f>
        <v>1.1364557424727637</v>
      </c>
      <c r="J17" s="155"/>
    </row>
    <row r="18" spans="1:10" ht="15.75">
      <c r="A18" s="249"/>
      <c r="B18" s="207" t="s">
        <v>121</v>
      </c>
      <c r="C18" s="214">
        <f>'Key financials'!B7/'Key financials'!C7</f>
        <v>1.0280257123148031</v>
      </c>
      <c r="D18" s="190">
        <f>'Key financials'!C7/'Key financials'!D7</f>
        <v>1.2086054634950201</v>
      </c>
      <c r="E18" s="170">
        <f>'Key financials'!D7/'Key financials'!E7</f>
        <v>1.2431864963007553</v>
      </c>
      <c r="F18" s="170">
        <f>'Key financials'!E7/'Key financials'!F7</f>
        <v>1.1291963600482404</v>
      </c>
      <c r="G18" s="170">
        <f>'Key financials'!F7/'Key financials'!G7</f>
        <v>1.0930585806776341</v>
      </c>
      <c r="H18" s="170">
        <f>'Key financials'!G7/'Key financials'!H7</f>
        <v>1.1077557739345725</v>
      </c>
      <c r="I18" s="180">
        <f>'Key financials'!H7/'Key financials'!I7</f>
        <v>1.0514908080793981</v>
      </c>
      <c r="J18" s="155"/>
    </row>
    <row r="19" spans="1:10" ht="15.75">
      <c r="A19" s="249"/>
      <c r="B19" s="207" t="s">
        <v>122</v>
      </c>
      <c r="C19" s="214">
        <f>'Key financials'!B21/'Key financials'!C21</f>
        <v>1.057645026764596</v>
      </c>
      <c r="D19" s="190">
        <f>'Key financials'!C21/'Key financials'!D21</f>
        <v>1.1744903274149479</v>
      </c>
      <c r="E19" s="170">
        <f>'Key financials'!D21/'Key financials'!E21</f>
        <v>1.2362097985834191</v>
      </c>
      <c r="F19" s="170">
        <f>'Key financials'!E21/'Key financials'!F21</f>
        <v>1.0616432606166724</v>
      </c>
      <c r="G19" s="170">
        <f>'Key financials'!F21/'Key financials'!G21</f>
        <v>1.1926168545111275</v>
      </c>
      <c r="H19" s="170">
        <f>'Key financials'!G21/'Key financials'!H21</f>
        <v>1.3201910912215109</v>
      </c>
      <c r="I19" s="180">
        <f>'Key financials'!H21/'Key financials'!I21</f>
        <v>1.2327800926464769</v>
      </c>
      <c r="J19" s="155"/>
    </row>
    <row r="20" spans="1:10" ht="16.5" thickBot="1">
      <c r="A20" s="250"/>
      <c r="B20" s="210" t="s">
        <v>123</v>
      </c>
      <c r="C20" s="222">
        <f>'Key financials'!B12/'Key financials'!B25</f>
        <v>48.630592017144387</v>
      </c>
      <c r="D20" s="198">
        <f>'Key financials'!C12/'Key financials'!C25</f>
        <v>46.036590269400882</v>
      </c>
      <c r="E20" s="178">
        <f>'Key financials'!D12/'Key financials'!D25</f>
        <v>35.931076017130621</v>
      </c>
      <c r="F20" s="178">
        <f>'Key financials'!E12/'Key financials'!E25</f>
        <v>27.599437901498931</v>
      </c>
      <c r="G20" s="178">
        <f>'Key financials'!F12/'Key financials'!F25</f>
        <v>22.087798408488062</v>
      </c>
      <c r="H20" s="178">
        <f>'Key financials'!G12/'Key financials'!G25</f>
        <v>18.662986330178761</v>
      </c>
      <c r="I20" s="188">
        <f>'Key financials'!H12/'Key financials'!H25</f>
        <v>15.398151763633997</v>
      </c>
      <c r="J20" s="155"/>
    </row>
    <row r="21" spans="1:10" ht="15.75">
      <c r="A21" s="156"/>
      <c r="B21" s="157" t="s">
        <v>124</v>
      </c>
      <c r="C21" s="159">
        <f>'Key financials'!B26</f>
        <v>14.06</v>
      </c>
      <c r="D21" s="159">
        <f>'Key financials'!C26</f>
        <v>13.64</v>
      </c>
      <c r="E21" s="159">
        <f>'Key financials'!D26</f>
        <v>11.81</v>
      </c>
      <c r="F21" s="159">
        <f>'Key financials'!E26</f>
        <v>9.68</v>
      </c>
      <c r="G21" s="159">
        <f>'Key financials'!F26</f>
        <v>9.65</v>
      </c>
      <c r="H21" s="159">
        <f>'Key financials'!G26</f>
        <v>8.0500000000000007</v>
      </c>
      <c r="I21" s="159">
        <f>'Key financials'!H26</f>
        <v>5.76</v>
      </c>
      <c r="J21" s="155"/>
    </row>
    <row r="22" spans="1:10" ht="15.75">
      <c r="A22" s="160"/>
      <c r="B22" s="161" t="s">
        <v>125</v>
      </c>
      <c r="C22" s="162">
        <f>Master!F3/'Key financials'!B26</f>
        <v>37.624466571834994</v>
      </c>
      <c r="D22" s="163"/>
      <c r="E22" s="163"/>
      <c r="F22" s="163"/>
      <c r="G22" s="163"/>
      <c r="H22" s="163"/>
      <c r="I22" s="163"/>
      <c r="J22" s="155"/>
    </row>
    <row r="23" spans="1:10" ht="15.75">
      <c r="A23" s="156"/>
      <c r="B23" s="251" t="s">
        <v>126</v>
      </c>
      <c r="C23" s="158">
        <f>1.2*('Key financials'!B5-'Key financials'!B9)/'Key financials'!B7+1.4*'Key financials'!B24/'Key financials'!B7+3.3*'Key financials'!B21/'Key financials'!B7+0.6*Master!F3*'Key financials'!B25/'Key financials'!B11+'Key financials'!B16/'Key financials'!B7</f>
        <v>10.174090186055276</v>
      </c>
      <c r="D23" s="164" t="s">
        <v>127</v>
      </c>
      <c r="E23" s="155"/>
      <c r="F23" s="165"/>
      <c r="G23" s="159"/>
      <c r="H23" s="159"/>
      <c r="I23" s="159"/>
      <c r="J23" s="155"/>
    </row>
    <row r="24" spans="1:10" ht="15.75">
      <c r="A24" s="156"/>
      <c r="B24" s="252"/>
      <c r="C24" s="158">
        <f>6.56*('Key financials'!B5-'Key financials'!B9)/'Key financials'!B7+3.26*'Key financials'!B24/'Key financials'!B7+6.72*'Key financials'!B21/'Key financials'!B7+1.05*Master!F3*'Key financials'!B25/'Key financials'!B11</f>
        <v>17.705530747930474</v>
      </c>
      <c r="D24" s="164" t="s">
        <v>128</v>
      </c>
      <c r="E24" s="155"/>
      <c r="F24" s="165"/>
      <c r="G24" s="159"/>
      <c r="H24" s="159"/>
      <c r="I24" s="159"/>
      <c r="J24" s="155"/>
    </row>
    <row r="25" spans="1:10" ht="15.75">
      <c r="A25" s="166"/>
      <c r="B25" s="155"/>
      <c r="C25" s="155"/>
      <c r="D25" s="167"/>
      <c r="E25" s="167"/>
      <c r="F25" s="167"/>
      <c r="G25" s="168"/>
      <c r="H25" s="155"/>
      <c r="I25" s="155"/>
      <c r="J25" s="155"/>
    </row>
  </sheetData>
  <mergeCells count="4">
    <mergeCell ref="A2:A10"/>
    <mergeCell ref="A11:A16"/>
    <mergeCell ref="A17:A20"/>
    <mergeCell ref="B23:B24"/>
  </mergeCells>
  <conditionalFormatting sqref="C2:I2">
    <cfRule type="expression" dxfId="1" priority="1">
      <formula>$C$2&lt;#REF!*0.8</formula>
    </cfRule>
    <cfRule type="expression" dxfId="0" priority="2">
      <formula>$C$2&gt;#REF!*1.2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C644-41E3-413F-A065-1386E59ABFCD}">
  <dimension ref="A1:M37"/>
  <sheetViews>
    <sheetView workbookViewId="0">
      <selection activeCell="B2" sqref="B2:L26"/>
    </sheetView>
  </sheetViews>
  <sheetFormatPr defaultRowHeight="15.75"/>
  <cols>
    <col min="1" max="1" width="45.140625" style="98" customWidth="1"/>
    <col min="2" max="12" width="10.5703125" style="98" customWidth="1"/>
    <col min="13" max="13" width="8.28515625" style="98" customWidth="1"/>
    <col min="14" max="14" width="16.42578125" style="98" customWidth="1"/>
    <col min="15" max="15" width="14.7109375" style="98" customWidth="1"/>
    <col min="16" max="16" width="14" style="98" customWidth="1"/>
    <col min="17" max="255" width="9.140625" style="98"/>
    <col min="256" max="256" width="10.5703125" style="98" customWidth="1"/>
    <col min="257" max="257" width="45.140625" style="98" customWidth="1"/>
    <col min="258" max="268" width="10.5703125" style="98" customWidth="1"/>
    <col min="269" max="269" width="8.28515625" style="98" customWidth="1"/>
    <col min="270" max="511" width="9.140625" style="98"/>
    <col min="512" max="512" width="10.5703125" style="98" customWidth="1"/>
    <col min="513" max="513" width="45.140625" style="98" customWidth="1"/>
    <col min="514" max="524" width="10.5703125" style="98" customWidth="1"/>
    <col min="525" max="525" width="8.28515625" style="98" customWidth="1"/>
    <col min="526" max="767" width="9.140625" style="98"/>
    <col min="768" max="768" width="10.5703125" style="98" customWidth="1"/>
    <col min="769" max="769" width="45.140625" style="98" customWidth="1"/>
    <col min="770" max="780" width="10.5703125" style="98" customWidth="1"/>
    <col min="781" max="781" width="8.28515625" style="98" customWidth="1"/>
    <col min="782" max="1023" width="9.140625" style="98"/>
    <col min="1024" max="1024" width="10.5703125" style="98" customWidth="1"/>
    <col min="1025" max="1025" width="45.140625" style="98" customWidth="1"/>
    <col min="1026" max="1036" width="10.5703125" style="98" customWidth="1"/>
    <col min="1037" max="1037" width="8.28515625" style="98" customWidth="1"/>
    <col min="1038" max="1279" width="9.140625" style="98"/>
    <col min="1280" max="1280" width="10.5703125" style="98" customWidth="1"/>
    <col min="1281" max="1281" width="45.140625" style="98" customWidth="1"/>
    <col min="1282" max="1292" width="10.5703125" style="98" customWidth="1"/>
    <col min="1293" max="1293" width="8.28515625" style="98" customWidth="1"/>
    <col min="1294" max="1535" width="9.140625" style="98"/>
    <col min="1536" max="1536" width="10.5703125" style="98" customWidth="1"/>
    <col min="1537" max="1537" width="45.140625" style="98" customWidth="1"/>
    <col min="1538" max="1548" width="10.5703125" style="98" customWidth="1"/>
    <col min="1549" max="1549" width="8.28515625" style="98" customWidth="1"/>
    <col min="1550" max="1791" width="9.140625" style="98"/>
    <col min="1792" max="1792" width="10.5703125" style="98" customWidth="1"/>
    <col min="1793" max="1793" width="45.140625" style="98" customWidth="1"/>
    <col min="1794" max="1804" width="10.5703125" style="98" customWidth="1"/>
    <col min="1805" max="1805" width="8.28515625" style="98" customWidth="1"/>
    <col min="1806" max="2047" width="9.140625" style="98"/>
    <col min="2048" max="2048" width="10.5703125" style="98" customWidth="1"/>
    <col min="2049" max="2049" width="45.140625" style="98" customWidth="1"/>
    <col min="2050" max="2060" width="10.5703125" style="98" customWidth="1"/>
    <col min="2061" max="2061" width="8.28515625" style="98" customWidth="1"/>
    <col min="2062" max="2303" width="9.140625" style="98"/>
    <col min="2304" max="2304" width="10.5703125" style="98" customWidth="1"/>
    <col min="2305" max="2305" width="45.140625" style="98" customWidth="1"/>
    <col min="2306" max="2316" width="10.5703125" style="98" customWidth="1"/>
    <col min="2317" max="2317" width="8.28515625" style="98" customWidth="1"/>
    <col min="2318" max="2559" width="9.140625" style="98"/>
    <col min="2560" max="2560" width="10.5703125" style="98" customWidth="1"/>
    <col min="2561" max="2561" width="45.140625" style="98" customWidth="1"/>
    <col min="2562" max="2572" width="10.5703125" style="98" customWidth="1"/>
    <col min="2573" max="2573" width="8.28515625" style="98" customWidth="1"/>
    <col min="2574" max="2815" width="9.140625" style="98"/>
    <col min="2816" max="2816" width="10.5703125" style="98" customWidth="1"/>
    <col min="2817" max="2817" width="45.140625" style="98" customWidth="1"/>
    <col min="2818" max="2828" width="10.5703125" style="98" customWidth="1"/>
    <col min="2829" max="2829" width="8.28515625" style="98" customWidth="1"/>
    <col min="2830" max="3071" width="9.140625" style="98"/>
    <col min="3072" max="3072" width="10.5703125" style="98" customWidth="1"/>
    <col min="3073" max="3073" width="45.140625" style="98" customWidth="1"/>
    <col min="3074" max="3084" width="10.5703125" style="98" customWidth="1"/>
    <col min="3085" max="3085" width="8.28515625" style="98" customWidth="1"/>
    <col min="3086" max="3327" width="9.140625" style="98"/>
    <col min="3328" max="3328" width="10.5703125" style="98" customWidth="1"/>
    <col min="3329" max="3329" width="45.140625" style="98" customWidth="1"/>
    <col min="3330" max="3340" width="10.5703125" style="98" customWidth="1"/>
    <col min="3341" max="3341" width="8.28515625" style="98" customWidth="1"/>
    <col min="3342" max="3583" width="9.140625" style="98"/>
    <col min="3584" max="3584" width="10.5703125" style="98" customWidth="1"/>
    <col min="3585" max="3585" width="45.140625" style="98" customWidth="1"/>
    <col min="3586" max="3596" width="10.5703125" style="98" customWidth="1"/>
    <col min="3597" max="3597" width="8.28515625" style="98" customWidth="1"/>
    <col min="3598" max="3839" width="9.140625" style="98"/>
    <col min="3840" max="3840" width="10.5703125" style="98" customWidth="1"/>
    <col min="3841" max="3841" width="45.140625" style="98" customWidth="1"/>
    <col min="3842" max="3852" width="10.5703125" style="98" customWidth="1"/>
    <col min="3853" max="3853" width="8.28515625" style="98" customWidth="1"/>
    <col min="3854" max="4095" width="9.140625" style="98"/>
    <col min="4096" max="4096" width="10.5703125" style="98" customWidth="1"/>
    <col min="4097" max="4097" width="45.140625" style="98" customWidth="1"/>
    <col min="4098" max="4108" width="10.5703125" style="98" customWidth="1"/>
    <col min="4109" max="4109" width="8.28515625" style="98" customWidth="1"/>
    <col min="4110" max="4351" width="9.140625" style="98"/>
    <col min="4352" max="4352" width="10.5703125" style="98" customWidth="1"/>
    <col min="4353" max="4353" width="45.140625" style="98" customWidth="1"/>
    <col min="4354" max="4364" width="10.5703125" style="98" customWidth="1"/>
    <col min="4365" max="4365" width="8.28515625" style="98" customWidth="1"/>
    <col min="4366" max="4607" width="9.140625" style="98"/>
    <col min="4608" max="4608" width="10.5703125" style="98" customWidth="1"/>
    <col min="4609" max="4609" width="45.140625" style="98" customWidth="1"/>
    <col min="4610" max="4620" width="10.5703125" style="98" customWidth="1"/>
    <col min="4621" max="4621" width="8.28515625" style="98" customWidth="1"/>
    <col min="4622" max="4863" width="9.140625" style="98"/>
    <col min="4864" max="4864" width="10.5703125" style="98" customWidth="1"/>
    <col min="4865" max="4865" width="45.140625" style="98" customWidth="1"/>
    <col min="4866" max="4876" width="10.5703125" style="98" customWidth="1"/>
    <col min="4877" max="4877" width="8.28515625" style="98" customWidth="1"/>
    <col min="4878" max="5119" width="9.140625" style="98"/>
    <col min="5120" max="5120" width="10.5703125" style="98" customWidth="1"/>
    <col min="5121" max="5121" width="45.140625" style="98" customWidth="1"/>
    <col min="5122" max="5132" width="10.5703125" style="98" customWidth="1"/>
    <col min="5133" max="5133" width="8.28515625" style="98" customWidth="1"/>
    <col min="5134" max="5375" width="9.140625" style="98"/>
    <col min="5376" max="5376" width="10.5703125" style="98" customWidth="1"/>
    <col min="5377" max="5377" width="45.140625" style="98" customWidth="1"/>
    <col min="5378" max="5388" width="10.5703125" style="98" customWidth="1"/>
    <col min="5389" max="5389" width="8.28515625" style="98" customWidth="1"/>
    <col min="5390" max="5631" width="9.140625" style="98"/>
    <col min="5632" max="5632" width="10.5703125" style="98" customWidth="1"/>
    <col min="5633" max="5633" width="45.140625" style="98" customWidth="1"/>
    <col min="5634" max="5644" width="10.5703125" style="98" customWidth="1"/>
    <col min="5645" max="5645" width="8.28515625" style="98" customWidth="1"/>
    <col min="5646" max="5887" width="9.140625" style="98"/>
    <col min="5888" max="5888" width="10.5703125" style="98" customWidth="1"/>
    <col min="5889" max="5889" width="45.140625" style="98" customWidth="1"/>
    <col min="5890" max="5900" width="10.5703125" style="98" customWidth="1"/>
    <col min="5901" max="5901" width="8.28515625" style="98" customWidth="1"/>
    <col min="5902" max="6143" width="9.140625" style="98"/>
    <col min="6144" max="6144" width="10.5703125" style="98" customWidth="1"/>
    <col min="6145" max="6145" width="45.140625" style="98" customWidth="1"/>
    <col min="6146" max="6156" width="10.5703125" style="98" customWidth="1"/>
    <col min="6157" max="6157" width="8.28515625" style="98" customWidth="1"/>
    <col min="6158" max="6399" width="9.140625" style="98"/>
    <col min="6400" max="6400" width="10.5703125" style="98" customWidth="1"/>
    <col min="6401" max="6401" width="45.140625" style="98" customWidth="1"/>
    <col min="6402" max="6412" width="10.5703125" style="98" customWidth="1"/>
    <col min="6413" max="6413" width="8.28515625" style="98" customWidth="1"/>
    <col min="6414" max="6655" width="9.140625" style="98"/>
    <col min="6656" max="6656" width="10.5703125" style="98" customWidth="1"/>
    <col min="6657" max="6657" width="45.140625" style="98" customWidth="1"/>
    <col min="6658" max="6668" width="10.5703125" style="98" customWidth="1"/>
    <col min="6669" max="6669" width="8.28515625" style="98" customWidth="1"/>
    <col min="6670" max="6911" width="9.140625" style="98"/>
    <col min="6912" max="6912" width="10.5703125" style="98" customWidth="1"/>
    <col min="6913" max="6913" width="45.140625" style="98" customWidth="1"/>
    <col min="6914" max="6924" width="10.5703125" style="98" customWidth="1"/>
    <col min="6925" max="6925" width="8.28515625" style="98" customWidth="1"/>
    <col min="6926" max="7167" width="9.140625" style="98"/>
    <col min="7168" max="7168" width="10.5703125" style="98" customWidth="1"/>
    <col min="7169" max="7169" width="45.140625" style="98" customWidth="1"/>
    <col min="7170" max="7180" width="10.5703125" style="98" customWidth="1"/>
    <col min="7181" max="7181" width="8.28515625" style="98" customWidth="1"/>
    <col min="7182" max="7423" width="9.140625" style="98"/>
    <col min="7424" max="7424" width="10.5703125" style="98" customWidth="1"/>
    <col min="7425" max="7425" width="45.140625" style="98" customWidth="1"/>
    <col min="7426" max="7436" width="10.5703125" style="98" customWidth="1"/>
    <col min="7437" max="7437" width="8.28515625" style="98" customWidth="1"/>
    <col min="7438" max="7679" width="9.140625" style="98"/>
    <col min="7680" max="7680" width="10.5703125" style="98" customWidth="1"/>
    <col min="7681" max="7681" width="45.140625" style="98" customWidth="1"/>
    <col min="7682" max="7692" width="10.5703125" style="98" customWidth="1"/>
    <col min="7693" max="7693" width="8.28515625" style="98" customWidth="1"/>
    <col min="7694" max="7935" width="9.140625" style="98"/>
    <col min="7936" max="7936" width="10.5703125" style="98" customWidth="1"/>
    <col min="7937" max="7937" width="45.140625" style="98" customWidth="1"/>
    <col min="7938" max="7948" width="10.5703125" style="98" customWidth="1"/>
    <col min="7949" max="7949" width="8.28515625" style="98" customWidth="1"/>
    <col min="7950" max="8191" width="9.140625" style="98"/>
    <col min="8192" max="8192" width="10.5703125" style="98" customWidth="1"/>
    <col min="8193" max="8193" width="45.140625" style="98" customWidth="1"/>
    <col min="8194" max="8204" width="10.5703125" style="98" customWidth="1"/>
    <col min="8205" max="8205" width="8.28515625" style="98" customWidth="1"/>
    <col min="8206" max="8447" width="9.140625" style="98"/>
    <col min="8448" max="8448" width="10.5703125" style="98" customWidth="1"/>
    <col min="8449" max="8449" width="45.140625" style="98" customWidth="1"/>
    <col min="8450" max="8460" width="10.5703125" style="98" customWidth="1"/>
    <col min="8461" max="8461" width="8.28515625" style="98" customWidth="1"/>
    <col min="8462" max="8703" width="9.140625" style="98"/>
    <col min="8704" max="8704" width="10.5703125" style="98" customWidth="1"/>
    <col min="8705" max="8705" width="45.140625" style="98" customWidth="1"/>
    <col min="8706" max="8716" width="10.5703125" style="98" customWidth="1"/>
    <col min="8717" max="8717" width="8.28515625" style="98" customWidth="1"/>
    <col min="8718" max="8959" width="9.140625" style="98"/>
    <col min="8960" max="8960" width="10.5703125" style="98" customWidth="1"/>
    <col min="8961" max="8961" width="45.140625" style="98" customWidth="1"/>
    <col min="8962" max="8972" width="10.5703125" style="98" customWidth="1"/>
    <col min="8973" max="8973" width="8.28515625" style="98" customWidth="1"/>
    <col min="8974" max="9215" width="9.140625" style="98"/>
    <col min="9216" max="9216" width="10.5703125" style="98" customWidth="1"/>
    <col min="9217" max="9217" width="45.140625" style="98" customWidth="1"/>
    <col min="9218" max="9228" width="10.5703125" style="98" customWidth="1"/>
    <col min="9229" max="9229" width="8.28515625" style="98" customWidth="1"/>
    <col min="9230" max="9471" width="9.140625" style="98"/>
    <col min="9472" max="9472" width="10.5703125" style="98" customWidth="1"/>
    <col min="9473" max="9473" width="45.140625" style="98" customWidth="1"/>
    <col min="9474" max="9484" width="10.5703125" style="98" customWidth="1"/>
    <col min="9485" max="9485" width="8.28515625" style="98" customWidth="1"/>
    <col min="9486" max="9727" width="9.140625" style="98"/>
    <col min="9728" max="9728" width="10.5703125" style="98" customWidth="1"/>
    <col min="9729" max="9729" width="45.140625" style="98" customWidth="1"/>
    <col min="9730" max="9740" width="10.5703125" style="98" customWidth="1"/>
    <col min="9741" max="9741" width="8.28515625" style="98" customWidth="1"/>
    <col min="9742" max="9983" width="9.140625" style="98"/>
    <col min="9984" max="9984" width="10.5703125" style="98" customWidth="1"/>
    <col min="9985" max="9985" width="45.140625" style="98" customWidth="1"/>
    <col min="9986" max="9996" width="10.5703125" style="98" customWidth="1"/>
    <col min="9997" max="9997" width="8.28515625" style="98" customWidth="1"/>
    <col min="9998" max="10239" width="9.140625" style="98"/>
    <col min="10240" max="10240" width="10.5703125" style="98" customWidth="1"/>
    <col min="10241" max="10241" width="45.140625" style="98" customWidth="1"/>
    <col min="10242" max="10252" width="10.5703125" style="98" customWidth="1"/>
    <col min="10253" max="10253" width="8.28515625" style="98" customWidth="1"/>
    <col min="10254" max="10495" width="9.140625" style="98"/>
    <col min="10496" max="10496" width="10.5703125" style="98" customWidth="1"/>
    <col min="10497" max="10497" width="45.140625" style="98" customWidth="1"/>
    <col min="10498" max="10508" width="10.5703125" style="98" customWidth="1"/>
    <col min="10509" max="10509" width="8.28515625" style="98" customWidth="1"/>
    <col min="10510" max="10751" width="9.140625" style="98"/>
    <col min="10752" max="10752" width="10.5703125" style="98" customWidth="1"/>
    <col min="10753" max="10753" width="45.140625" style="98" customWidth="1"/>
    <col min="10754" max="10764" width="10.5703125" style="98" customWidth="1"/>
    <col min="10765" max="10765" width="8.28515625" style="98" customWidth="1"/>
    <col min="10766" max="11007" width="9.140625" style="98"/>
    <col min="11008" max="11008" width="10.5703125" style="98" customWidth="1"/>
    <col min="11009" max="11009" width="45.140625" style="98" customWidth="1"/>
    <col min="11010" max="11020" width="10.5703125" style="98" customWidth="1"/>
    <col min="11021" max="11021" width="8.28515625" style="98" customWidth="1"/>
    <col min="11022" max="11263" width="9.140625" style="98"/>
    <col min="11264" max="11264" width="10.5703125" style="98" customWidth="1"/>
    <col min="11265" max="11265" width="45.140625" style="98" customWidth="1"/>
    <col min="11266" max="11276" width="10.5703125" style="98" customWidth="1"/>
    <col min="11277" max="11277" width="8.28515625" style="98" customWidth="1"/>
    <col min="11278" max="11519" width="9.140625" style="98"/>
    <col min="11520" max="11520" width="10.5703125" style="98" customWidth="1"/>
    <col min="11521" max="11521" width="45.140625" style="98" customWidth="1"/>
    <col min="11522" max="11532" width="10.5703125" style="98" customWidth="1"/>
    <col min="11533" max="11533" width="8.28515625" style="98" customWidth="1"/>
    <col min="11534" max="11775" width="9.140625" style="98"/>
    <col min="11776" max="11776" width="10.5703125" style="98" customWidth="1"/>
    <col min="11777" max="11777" width="45.140625" style="98" customWidth="1"/>
    <col min="11778" max="11788" width="10.5703125" style="98" customWidth="1"/>
    <col min="11789" max="11789" width="8.28515625" style="98" customWidth="1"/>
    <col min="11790" max="12031" width="9.140625" style="98"/>
    <col min="12032" max="12032" width="10.5703125" style="98" customWidth="1"/>
    <col min="12033" max="12033" width="45.140625" style="98" customWidth="1"/>
    <col min="12034" max="12044" width="10.5703125" style="98" customWidth="1"/>
    <col min="12045" max="12045" width="8.28515625" style="98" customWidth="1"/>
    <col min="12046" max="12287" width="9.140625" style="98"/>
    <col min="12288" max="12288" width="10.5703125" style="98" customWidth="1"/>
    <col min="12289" max="12289" width="45.140625" style="98" customWidth="1"/>
    <col min="12290" max="12300" width="10.5703125" style="98" customWidth="1"/>
    <col min="12301" max="12301" width="8.28515625" style="98" customWidth="1"/>
    <col min="12302" max="12543" width="9.140625" style="98"/>
    <col min="12544" max="12544" width="10.5703125" style="98" customWidth="1"/>
    <col min="12545" max="12545" width="45.140625" style="98" customWidth="1"/>
    <col min="12546" max="12556" width="10.5703125" style="98" customWidth="1"/>
    <col min="12557" max="12557" width="8.28515625" style="98" customWidth="1"/>
    <col min="12558" max="12799" width="9.140625" style="98"/>
    <col min="12800" max="12800" width="10.5703125" style="98" customWidth="1"/>
    <col min="12801" max="12801" width="45.140625" style="98" customWidth="1"/>
    <col min="12802" max="12812" width="10.5703125" style="98" customWidth="1"/>
    <col min="12813" max="12813" width="8.28515625" style="98" customWidth="1"/>
    <col min="12814" max="13055" width="9.140625" style="98"/>
    <col min="13056" max="13056" width="10.5703125" style="98" customWidth="1"/>
    <col min="13057" max="13057" width="45.140625" style="98" customWidth="1"/>
    <col min="13058" max="13068" width="10.5703125" style="98" customWidth="1"/>
    <col min="13069" max="13069" width="8.28515625" style="98" customWidth="1"/>
    <col min="13070" max="13311" width="9.140625" style="98"/>
    <col min="13312" max="13312" width="10.5703125" style="98" customWidth="1"/>
    <col min="13313" max="13313" width="45.140625" style="98" customWidth="1"/>
    <col min="13314" max="13324" width="10.5703125" style="98" customWidth="1"/>
    <col min="13325" max="13325" width="8.28515625" style="98" customWidth="1"/>
    <col min="13326" max="13567" width="9.140625" style="98"/>
    <col min="13568" max="13568" width="10.5703125" style="98" customWidth="1"/>
    <col min="13569" max="13569" width="45.140625" style="98" customWidth="1"/>
    <col min="13570" max="13580" width="10.5703125" style="98" customWidth="1"/>
    <col min="13581" max="13581" width="8.28515625" style="98" customWidth="1"/>
    <col min="13582" max="13823" width="9.140625" style="98"/>
    <col min="13824" max="13824" width="10.5703125" style="98" customWidth="1"/>
    <col min="13825" max="13825" width="45.140625" style="98" customWidth="1"/>
    <col min="13826" max="13836" width="10.5703125" style="98" customWidth="1"/>
    <col min="13837" max="13837" width="8.28515625" style="98" customWidth="1"/>
    <col min="13838" max="14079" width="9.140625" style="98"/>
    <col min="14080" max="14080" width="10.5703125" style="98" customWidth="1"/>
    <col min="14081" max="14081" width="45.140625" style="98" customWidth="1"/>
    <col min="14082" max="14092" width="10.5703125" style="98" customWidth="1"/>
    <col min="14093" max="14093" width="8.28515625" style="98" customWidth="1"/>
    <col min="14094" max="14335" width="9.140625" style="98"/>
    <col min="14336" max="14336" width="10.5703125" style="98" customWidth="1"/>
    <col min="14337" max="14337" width="45.140625" style="98" customWidth="1"/>
    <col min="14338" max="14348" width="10.5703125" style="98" customWidth="1"/>
    <col min="14349" max="14349" width="8.28515625" style="98" customWidth="1"/>
    <col min="14350" max="14591" width="9.140625" style="98"/>
    <col min="14592" max="14592" width="10.5703125" style="98" customWidth="1"/>
    <col min="14593" max="14593" width="45.140625" style="98" customWidth="1"/>
    <col min="14594" max="14604" width="10.5703125" style="98" customWidth="1"/>
    <col min="14605" max="14605" width="8.28515625" style="98" customWidth="1"/>
    <col min="14606" max="14847" width="9.140625" style="98"/>
    <col min="14848" max="14848" width="10.5703125" style="98" customWidth="1"/>
    <col min="14849" max="14849" width="45.140625" style="98" customWidth="1"/>
    <col min="14850" max="14860" width="10.5703125" style="98" customWidth="1"/>
    <col min="14861" max="14861" width="8.28515625" style="98" customWidth="1"/>
    <col min="14862" max="15103" width="9.140625" style="98"/>
    <col min="15104" max="15104" width="10.5703125" style="98" customWidth="1"/>
    <col min="15105" max="15105" width="45.140625" style="98" customWidth="1"/>
    <col min="15106" max="15116" width="10.5703125" style="98" customWidth="1"/>
    <col min="15117" max="15117" width="8.28515625" style="98" customWidth="1"/>
    <col min="15118" max="15359" width="9.140625" style="98"/>
    <col min="15360" max="15360" width="10.5703125" style="98" customWidth="1"/>
    <col min="15361" max="15361" width="45.140625" style="98" customWidth="1"/>
    <col min="15362" max="15372" width="10.5703125" style="98" customWidth="1"/>
    <col min="15373" max="15373" width="8.28515625" style="98" customWidth="1"/>
    <col min="15374" max="15615" width="9.140625" style="98"/>
    <col min="15616" max="15616" width="10.5703125" style="98" customWidth="1"/>
    <col min="15617" max="15617" width="45.140625" style="98" customWidth="1"/>
    <col min="15618" max="15628" width="10.5703125" style="98" customWidth="1"/>
    <col min="15629" max="15629" width="8.28515625" style="98" customWidth="1"/>
    <col min="15630" max="15871" width="9.140625" style="98"/>
    <col min="15872" max="15872" width="10.5703125" style="98" customWidth="1"/>
    <col min="15873" max="15873" width="45.140625" style="98" customWidth="1"/>
    <col min="15874" max="15884" width="10.5703125" style="98" customWidth="1"/>
    <col min="15885" max="15885" width="8.28515625" style="98" customWidth="1"/>
    <col min="15886" max="16127" width="9.140625" style="98"/>
    <col min="16128" max="16128" width="10.5703125" style="98" customWidth="1"/>
    <col min="16129" max="16129" width="45.140625" style="98" customWidth="1"/>
    <col min="16130" max="16140" width="10.5703125" style="98" customWidth="1"/>
    <col min="16141" max="16141" width="8.28515625" style="98" customWidth="1"/>
    <col min="16142" max="16384" width="9.140625" style="98"/>
  </cols>
  <sheetData>
    <row r="1" spans="1:12" ht="14.25" customHeight="1" thickBot="1">
      <c r="A1" s="132" t="s">
        <v>89</v>
      </c>
      <c r="B1" s="135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4.25" customHeight="1">
      <c r="A2" s="99" t="s">
        <v>88</v>
      </c>
      <c r="B2" s="136">
        <v>102012</v>
      </c>
      <c r="C2" s="100">
        <v>94565</v>
      </c>
      <c r="D2" s="100">
        <v>75543</v>
      </c>
      <c r="E2" s="100">
        <v>111262</v>
      </c>
      <c r="F2" s="100">
        <v>104757</v>
      </c>
      <c r="G2" s="100">
        <v>130334</v>
      </c>
      <c r="H2" s="100">
        <v>136527</v>
      </c>
      <c r="I2" s="100">
        <v>133819</v>
      </c>
      <c r="J2" s="100">
        <v>133768</v>
      </c>
      <c r="K2" s="100">
        <v>132981</v>
      </c>
      <c r="L2" s="101">
        <v>113240</v>
      </c>
    </row>
    <row r="3" spans="1:12" ht="14.25" customHeight="1">
      <c r="A3" s="102" t="s">
        <v>86</v>
      </c>
      <c r="B3" s="137">
        <v>52894</v>
      </c>
      <c r="C3" s="103">
        <v>69905</v>
      </c>
      <c r="D3" s="103">
        <v>55924</v>
      </c>
      <c r="E3" s="103">
        <v>48688</v>
      </c>
      <c r="F3" s="103">
        <v>44261</v>
      </c>
      <c r="G3" s="103">
        <v>38043</v>
      </c>
      <c r="H3" s="103">
        <v>32011</v>
      </c>
      <c r="I3" s="103">
        <v>29524</v>
      </c>
      <c r="J3" s="103">
        <v>26481</v>
      </c>
      <c r="K3" s="103">
        <v>22431</v>
      </c>
      <c r="L3" s="104">
        <v>18277</v>
      </c>
    </row>
    <row r="4" spans="1:12" ht="14.25" customHeight="1">
      <c r="A4" s="102" t="s">
        <v>87</v>
      </c>
      <c r="B4" s="137">
        <v>1130</v>
      </c>
      <c r="C4" s="103">
        <v>938</v>
      </c>
      <c r="D4" s="103">
        <v>1246</v>
      </c>
      <c r="E4" s="103">
        <v>2500</v>
      </c>
      <c r="F4" s="103">
        <v>3742</v>
      </c>
      <c r="G4" s="103">
        <v>2636</v>
      </c>
      <c r="H4" s="103">
        <v>1895</v>
      </c>
      <c r="I4" s="103">
        <v>2063</v>
      </c>
      <c r="J4" s="103">
        <v>2662</v>
      </c>
      <c r="K4" s="103">
        <v>2181</v>
      </c>
      <c r="L4" s="104">
        <v>2251</v>
      </c>
    </row>
    <row r="5" spans="1:12" s="108" customFormat="1" ht="14.25" customHeight="1">
      <c r="A5" s="110" t="s">
        <v>12</v>
      </c>
      <c r="B5" s="138">
        <v>189066</v>
      </c>
      <c r="C5" s="106">
        <v>191131</v>
      </c>
      <c r="D5" s="106">
        <v>159734</v>
      </c>
      <c r="E5" s="106">
        <v>184257</v>
      </c>
      <c r="F5" s="106">
        <v>169684</v>
      </c>
      <c r="G5" s="106">
        <v>184406</v>
      </c>
      <c r="H5" s="106">
        <v>181915</v>
      </c>
      <c r="I5" s="106">
        <v>175552</v>
      </c>
      <c r="J5" s="106">
        <v>169662</v>
      </c>
      <c r="K5" s="106">
        <v>162696</v>
      </c>
      <c r="L5" s="107">
        <v>139660</v>
      </c>
    </row>
    <row r="6" spans="1:12" ht="14.25" customHeight="1">
      <c r="A6" s="109" t="s">
        <v>76</v>
      </c>
      <c r="B6" s="137">
        <v>230861</v>
      </c>
      <c r="C6" s="103">
        <v>204996</v>
      </c>
      <c r="D6" s="103">
        <v>135591</v>
      </c>
      <c r="E6" s="103">
        <v>95641</v>
      </c>
      <c r="F6" s="103">
        <v>74398</v>
      </c>
      <c r="G6" s="103">
        <v>59715</v>
      </c>
      <c r="H6" s="103">
        <v>44151</v>
      </c>
      <c r="I6" s="103">
        <v>36477</v>
      </c>
      <c r="J6" s="103">
        <v>29460</v>
      </c>
      <c r="K6" s="103">
        <v>23734</v>
      </c>
      <c r="L6" s="104">
        <v>18356</v>
      </c>
    </row>
    <row r="7" spans="1:12" ht="14.25" customHeight="1">
      <c r="A7" s="105" t="s">
        <v>22</v>
      </c>
      <c r="B7" s="138">
        <v>636351</v>
      </c>
      <c r="C7" s="106">
        <v>619003</v>
      </c>
      <c r="D7" s="106">
        <v>512163</v>
      </c>
      <c r="E7" s="106">
        <v>411976</v>
      </c>
      <c r="F7" s="106">
        <v>364840</v>
      </c>
      <c r="G7" s="106">
        <v>333779</v>
      </c>
      <c r="H7" s="106">
        <v>301311</v>
      </c>
      <c r="I7" s="106">
        <v>286556</v>
      </c>
      <c r="J7" s="106">
        <v>258848</v>
      </c>
      <c r="K7" s="106">
        <v>250312</v>
      </c>
      <c r="L7" s="107">
        <v>193468</v>
      </c>
    </row>
    <row r="8" spans="1:12" ht="14.25" customHeight="1">
      <c r="A8" s="110" t="s">
        <v>14</v>
      </c>
      <c r="B8" s="137">
        <v>7832</v>
      </c>
      <c r="C8" s="111">
        <v>2999</v>
      </c>
      <c r="D8" s="111">
        <v>2249</v>
      </c>
      <c r="E8" s="111">
        <v>5247</v>
      </c>
      <c r="F8" s="111">
        <v>2749</v>
      </c>
      <c r="G8" s="111">
        <v>8072</v>
      </c>
      <c r="H8" s="111">
        <v>3749</v>
      </c>
      <c r="I8" s="111">
        <v>5516</v>
      </c>
      <c r="J8" s="111">
        <v>3998</v>
      </c>
      <c r="K8" s="111">
        <v>10121</v>
      </c>
      <c r="L8" s="124">
        <v>13198</v>
      </c>
    </row>
    <row r="9" spans="1:12" ht="14.25" customHeight="1">
      <c r="A9" s="102" t="s">
        <v>13</v>
      </c>
      <c r="B9" s="137">
        <v>134996</v>
      </c>
      <c r="C9" s="112">
        <v>141218</v>
      </c>
      <c r="D9" s="112">
        <v>125286</v>
      </c>
      <c r="E9" s="112">
        <v>104149</v>
      </c>
      <c r="F9" s="112">
        <v>95082</v>
      </c>
      <c r="G9" s="112">
        <v>88657</v>
      </c>
      <c r="H9" s="112">
        <v>72310</v>
      </c>
      <c r="I9" s="112">
        <v>69420</v>
      </c>
      <c r="J9" s="112">
        <v>58488</v>
      </c>
      <c r="K9" s="112">
        <v>55745</v>
      </c>
      <c r="L9" s="113">
        <v>59357</v>
      </c>
    </row>
    <row r="10" spans="1:12" s="108" customFormat="1" ht="14.25" customHeight="1">
      <c r="A10" s="102" t="s">
        <v>77</v>
      </c>
      <c r="B10" s="137">
        <v>35376</v>
      </c>
      <c r="C10" s="103">
        <v>40152</v>
      </c>
      <c r="D10" s="103">
        <v>42668</v>
      </c>
      <c r="E10" s="103">
        <v>41990</v>
      </c>
      <c r="F10" s="103">
        <v>47032</v>
      </c>
      <c r="G10" s="103">
        <v>50074</v>
      </c>
      <c r="H10" s="103">
        <v>59578</v>
      </c>
      <c r="I10" s="103">
        <v>66662</v>
      </c>
      <c r="J10" s="103">
        <v>72242</v>
      </c>
      <c r="K10" s="103">
        <v>76073</v>
      </c>
      <c r="L10" s="104">
        <v>40557</v>
      </c>
    </row>
    <row r="11" spans="1:12" ht="14.25" customHeight="1">
      <c r="A11" s="110" t="s">
        <v>23</v>
      </c>
      <c r="B11" s="139">
        <v>273275</v>
      </c>
      <c r="C11" s="106">
        <v>275524</v>
      </c>
      <c r="D11" s="106">
        <v>243686</v>
      </c>
      <c r="E11" s="106">
        <v>205753</v>
      </c>
      <c r="F11" s="106">
        <v>198298</v>
      </c>
      <c r="G11" s="106">
        <v>191791</v>
      </c>
      <c r="H11" s="106">
        <v>183007</v>
      </c>
      <c r="I11" s="106">
        <v>184226</v>
      </c>
      <c r="J11" s="106">
        <v>176130</v>
      </c>
      <c r="K11" s="106">
        <v>162601</v>
      </c>
      <c r="L11" s="107">
        <v>121471</v>
      </c>
    </row>
    <row r="12" spans="1:12" ht="14.25" customHeight="1">
      <c r="A12" s="105" t="s">
        <v>78</v>
      </c>
      <c r="B12" s="139">
        <v>363076</v>
      </c>
      <c r="C12" s="106">
        <v>343479</v>
      </c>
      <c r="D12" s="106">
        <v>268477</v>
      </c>
      <c r="E12" s="106">
        <v>206223</v>
      </c>
      <c r="F12" s="106">
        <v>166542</v>
      </c>
      <c r="G12" s="106">
        <v>141988</v>
      </c>
      <c r="H12" s="106">
        <v>118304</v>
      </c>
      <c r="I12" s="106">
        <v>102330</v>
      </c>
      <c r="J12" s="106">
        <v>82718</v>
      </c>
      <c r="K12" s="106">
        <v>87711</v>
      </c>
      <c r="L12" s="107">
        <v>71997</v>
      </c>
    </row>
    <row r="13" spans="1:12" s="108" customFormat="1" ht="14.25" customHeight="1">
      <c r="A13" s="114" t="s">
        <v>24</v>
      </c>
      <c r="B13" s="140">
        <v>39831</v>
      </c>
      <c r="C13" s="115">
        <v>34153</v>
      </c>
      <c r="D13" s="115">
        <v>22287</v>
      </c>
      <c r="E13" s="115">
        <v>13861</v>
      </c>
      <c r="F13" s="115">
        <v>14460</v>
      </c>
      <c r="G13" s="115">
        <v>11686</v>
      </c>
      <c r="H13" s="115">
        <v>12796</v>
      </c>
      <c r="I13" s="115">
        <v>11682</v>
      </c>
      <c r="J13" s="115">
        <v>10261</v>
      </c>
      <c r="K13" s="115">
        <v>8778</v>
      </c>
      <c r="L13" s="116">
        <v>6622</v>
      </c>
    </row>
    <row r="14" spans="1:12" ht="14.25" customHeight="1" thickBot="1">
      <c r="A14" s="114" t="s">
        <v>25</v>
      </c>
      <c r="B14" s="140">
        <v>73729</v>
      </c>
      <c r="C14" s="115">
        <v>70529</v>
      </c>
      <c r="D14" s="115">
        <v>113609</v>
      </c>
      <c r="E14" s="115">
        <v>29777</v>
      </c>
      <c r="F14" s="115">
        <v>45924</v>
      </c>
      <c r="G14" s="115">
        <v>29531</v>
      </c>
      <c r="H14" s="115">
        <v>17962</v>
      </c>
      <c r="I14" s="115">
        <v>16313</v>
      </c>
      <c r="J14" s="115">
        <v>12520</v>
      </c>
      <c r="K14" s="115">
        <v>34073</v>
      </c>
      <c r="L14" s="116">
        <v>9736</v>
      </c>
    </row>
    <row r="15" spans="1:12" ht="14.25" customHeight="1" thickBot="1">
      <c r="A15" s="117" t="s">
        <v>90</v>
      </c>
      <c r="B15" s="141"/>
      <c r="C15" s="118">
        <v>0</v>
      </c>
      <c r="D15" s="118" t="s">
        <v>141</v>
      </c>
      <c r="E15" s="118" t="s">
        <v>142</v>
      </c>
      <c r="F15" s="118" t="s">
        <v>129</v>
      </c>
      <c r="G15" s="118" t="s">
        <v>130</v>
      </c>
      <c r="H15" s="118" t="s">
        <v>131</v>
      </c>
      <c r="I15" s="118" t="s">
        <v>132</v>
      </c>
      <c r="J15" s="118" t="s">
        <v>133</v>
      </c>
      <c r="K15" s="118" t="s">
        <v>134</v>
      </c>
      <c r="L15" s="119" t="s">
        <v>135</v>
      </c>
    </row>
    <row r="16" spans="1:12" ht="14.25" customHeight="1">
      <c r="A16" s="133" t="s">
        <v>79</v>
      </c>
      <c r="B16" s="142">
        <v>295812</v>
      </c>
      <c r="C16" s="120">
        <v>283724</v>
      </c>
      <c r="D16" s="120">
        <v>245122</v>
      </c>
      <c r="E16" s="120">
        <v>211915</v>
      </c>
      <c r="F16" s="120">
        <v>198270</v>
      </c>
      <c r="G16" s="120">
        <v>168088</v>
      </c>
      <c r="H16" s="120">
        <v>143015</v>
      </c>
      <c r="I16" s="120">
        <v>125843</v>
      </c>
      <c r="J16" s="120">
        <v>110360</v>
      </c>
      <c r="K16" s="120">
        <v>96571</v>
      </c>
      <c r="L16" s="121">
        <v>91154</v>
      </c>
    </row>
    <row r="17" spans="1:13" s="108" customFormat="1" ht="14.25" customHeight="1">
      <c r="A17" s="127" t="s">
        <v>80</v>
      </c>
      <c r="B17" s="140">
        <v>91775</v>
      </c>
      <c r="C17" s="103">
        <v>87831</v>
      </c>
      <c r="D17" s="103">
        <v>74114</v>
      </c>
      <c r="E17" s="103">
        <v>65863</v>
      </c>
      <c r="F17" s="103">
        <v>62650</v>
      </c>
      <c r="G17" s="103">
        <v>52232</v>
      </c>
      <c r="H17" s="103">
        <v>46078</v>
      </c>
      <c r="I17" s="103">
        <v>42910</v>
      </c>
      <c r="J17" s="103">
        <v>38353</v>
      </c>
      <c r="K17" s="103">
        <v>34261</v>
      </c>
      <c r="L17" s="104">
        <v>32780</v>
      </c>
    </row>
    <row r="18" spans="1:13" s="108" customFormat="1" ht="14.25" customHeight="1">
      <c r="A18" s="123" t="s">
        <v>81</v>
      </c>
      <c r="B18" s="139">
        <v>204037</v>
      </c>
      <c r="C18" s="106">
        <v>195893</v>
      </c>
      <c r="D18" s="106">
        <v>171008</v>
      </c>
      <c r="E18" s="106">
        <v>146052</v>
      </c>
      <c r="F18" s="106">
        <v>135620</v>
      </c>
      <c r="G18" s="106">
        <v>115856</v>
      </c>
      <c r="H18" s="106">
        <v>96937</v>
      </c>
      <c r="I18" s="106">
        <v>82933</v>
      </c>
      <c r="J18" s="106">
        <v>72007</v>
      </c>
      <c r="K18" s="106">
        <v>62310</v>
      </c>
      <c r="L18" s="107">
        <v>58374</v>
      </c>
    </row>
    <row r="19" spans="1:13" s="108" customFormat="1" ht="14.25" customHeight="1">
      <c r="A19" s="123" t="s">
        <v>26</v>
      </c>
      <c r="B19" s="143">
        <v>33090</v>
      </c>
      <c r="C19" s="111">
        <v>32488</v>
      </c>
      <c r="D19" s="111">
        <v>29510</v>
      </c>
      <c r="E19" s="111">
        <v>27195</v>
      </c>
      <c r="F19" s="111">
        <v>24512</v>
      </c>
      <c r="G19" s="111">
        <v>20716</v>
      </c>
      <c r="H19" s="111">
        <v>19269</v>
      </c>
      <c r="I19" s="111">
        <v>16876</v>
      </c>
      <c r="J19" s="111">
        <v>14726</v>
      </c>
      <c r="K19" s="111">
        <v>13037</v>
      </c>
      <c r="L19" s="124">
        <v>11988</v>
      </c>
      <c r="M19" s="134"/>
    </row>
    <row r="20" spans="1:13" ht="14.25" customHeight="1">
      <c r="A20" s="123" t="s">
        <v>27</v>
      </c>
      <c r="B20" s="143">
        <v>33010</v>
      </c>
      <c r="C20" s="111">
        <v>32877</v>
      </c>
      <c r="D20" s="111">
        <v>32065</v>
      </c>
      <c r="E20" s="111">
        <v>30334</v>
      </c>
      <c r="F20" s="111">
        <v>27725</v>
      </c>
      <c r="G20" s="111">
        <v>25224</v>
      </c>
      <c r="H20" s="111">
        <v>24709</v>
      </c>
      <c r="I20" s="111">
        <v>23098</v>
      </c>
      <c r="J20" s="111">
        <v>22223</v>
      </c>
      <c r="K20" s="111">
        <v>19942</v>
      </c>
      <c r="L20" s="124">
        <v>19198</v>
      </c>
    </row>
    <row r="21" spans="1:13" ht="14.25" customHeight="1">
      <c r="A21" s="122" t="s">
        <v>94</v>
      </c>
      <c r="B21" s="139">
        <v>135937</v>
      </c>
      <c r="C21" s="106">
        <v>128528</v>
      </c>
      <c r="D21" s="106">
        <v>109433</v>
      </c>
      <c r="E21" s="106">
        <v>88523</v>
      </c>
      <c r="F21" s="106">
        <v>83383</v>
      </c>
      <c r="G21" s="106">
        <v>69916</v>
      </c>
      <c r="H21" s="106">
        <v>52959</v>
      </c>
      <c r="I21" s="106">
        <v>42959</v>
      </c>
      <c r="J21" s="106">
        <v>35058</v>
      </c>
      <c r="K21" s="106">
        <v>29025</v>
      </c>
      <c r="L21" s="107">
        <v>26078</v>
      </c>
    </row>
    <row r="22" spans="1:13" ht="14.25" customHeight="1">
      <c r="A22" s="127" t="s">
        <v>82</v>
      </c>
      <c r="B22" s="143">
        <v>2501</v>
      </c>
      <c r="C22" s="103">
        <v>2385</v>
      </c>
      <c r="D22" s="103">
        <v>2935</v>
      </c>
      <c r="E22" s="103">
        <v>1968</v>
      </c>
      <c r="F22" s="103">
        <v>2063</v>
      </c>
      <c r="G22" s="103">
        <v>2346</v>
      </c>
      <c r="H22" s="103">
        <v>2591</v>
      </c>
      <c r="I22" s="103">
        <v>2686</v>
      </c>
      <c r="J22" s="103">
        <v>2733</v>
      </c>
      <c r="K22" s="103">
        <v>2222</v>
      </c>
      <c r="L22" s="104">
        <v>1243</v>
      </c>
    </row>
    <row r="23" spans="1:13" ht="14.25" customHeight="1">
      <c r="A23" s="123" t="s">
        <v>92</v>
      </c>
      <c r="B23" s="143">
        <v>127659</v>
      </c>
      <c r="C23" s="111">
        <v>123627</v>
      </c>
      <c r="D23" s="111">
        <v>107787</v>
      </c>
      <c r="E23" s="111">
        <v>89311</v>
      </c>
      <c r="F23" s="111">
        <v>83716</v>
      </c>
      <c r="G23" s="111">
        <v>71102</v>
      </c>
      <c r="H23" s="111">
        <v>53036</v>
      </c>
      <c r="I23" s="111">
        <v>43688</v>
      </c>
      <c r="J23" s="111">
        <v>36474</v>
      </c>
      <c r="K23" s="111">
        <v>29901</v>
      </c>
      <c r="L23" s="124">
        <v>25639</v>
      </c>
    </row>
    <row r="24" spans="1:13" ht="14.25" customHeight="1">
      <c r="A24" s="105" t="s">
        <v>93</v>
      </c>
      <c r="B24" s="139">
        <v>104912</v>
      </c>
      <c r="C24" s="125">
        <v>101832</v>
      </c>
      <c r="D24" s="125">
        <v>88136</v>
      </c>
      <c r="E24" s="125">
        <v>72361</v>
      </c>
      <c r="F24" s="125">
        <v>72738</v>
      </c>
      <c r="G24" s="125">
        <v>61271</v>
      </c>
      <c r="H24" s="125">
        <v>44281</v>
      </c>
      <c r="I24" s="125">
        <v>39240</v>
      </c>
      <c r="J24" s="125">
        <v>16571</v>
      </c>
      <c r="K24" s="125">
        <v>25489</v>
      </c>
      <c r="L24" s="126">
        <v>20539</v>
      </c>
    </row>
    <row r="25" spans="1:13" ht="14.25" customHeight="1">
      <c r="A25" s="127" t="s">
        <v>97</v>
      </c>
      <c r="B25" s="143">
        <v>7466</v>
      </c>
      <c r="C25" s="103">
        <v>7461</v>
      </c>
      <c r="D25" s="103">
        <v>7472</v>
      </c>
      <c r="E25" s="103">
        <v>7472</v>
      </c>
      <c r="F25" s="103">
        <v>7540</v>
      </c>
      <c r="G25" s="103">
        <v>7608</v>
      </c>
      <c r="H25" s="103">
        <v>7683</v>
      </c>
      <c r="I25" s="103">
        <v>7753</v>
      </c>
      <c r="J25" s="103">
        <v>7794</v>
      </c>
      <c r="K25" s="103">
        <v>7832</v>
      </c>
      <c r="L25" s="104">
        <v>8013</v>
      </c>
    </row>
    <row r="26" spans="1:13" ht="14.25" customHeight="1" thickBot="1">
      <c r="A26" s="147" t="s">
        <v>98</v>
      </c>
      <c r="B26" s="144">
        <v>14.06</v>
      </c>
      <c r="C26" s="128">
        <v>13.64</v>
      </c>
      <c r="D26" s="128">
        <v>11.81</v>
      </c>
      <c r="E26" s="128">
        <v>9.68</v>
      </c>
      <c r="F26" s="128">
        <v>9.65</v>
      </c>
      <c r="G26" s="128">
        <v>8.0500000000000007</v>
      </c>
      <c r="H26" s="128">
        <v>5.76</v>
      </c>
      <c r="I26" s="128">
        <v>5.0599999999999996</v>
      </c>
      <c r="J26" s="128">
        <v>2.13</v>
      </c>
      <c r="K26" s="128">
        <v>3.25</v>
      </c>
      <c r="L26" s="129">
        <v>2.56</v>
      </c>
    </row>
    <row r="27" spans="1:13">
      <c r="C27" s="130">
        <v>-1</v>
      </c>
      <c r="D27" s="130">
        <f>IF((0-'Key financials'!C27)&lt;Valuation!$I$10,IF('Key financials'!C27&gt;-1,,'Key financials'!C27-1),)</f>
        <v>-2</v>
      </c>
      <c r="E27" s="130">
        <f>IF((0-'Key financials'!D27)&lt;Valuation!$I$10,IF('Key financials'!D27&gt;-1,,'Key financials'!D27-1),)</f>
        <v>-3</v>
      </c>
      <c r="F27" s="130">
        <f>IF((0-'Key financials'!E27)&lt;Valuation!$I$10,IF('Key financials'!E27&gt;-1,,'Key financials'!E27-1),)</f>
        <v>-4</v>
      </c>
      <c r="G27" s="130">
        <f>IF((0-'Key financials'!F27)&lt;Valuation!$I$10,IF('Key financials'!F27&gt;-1,,'Key financials'!F27-1),)</f>
        <v>-5</v>
      </c>
      <c r="H27" s="130">
        <f>IF((0-G27)&lt;Valuation!$I$10,IF(G27&gt;-1,,G27-1),)</f>
        <v>0</v>
      </c>
      <c r="I27" s="130">
        <f>IF((0-H27)&lt;Valuation!$I$10,IF(H27&gt;-1,,H27-1),)</f>
        <v>0</v>
      </c>
      <c r="J27" s="130">
        <f>IF((0-I27)&lt;Valuation!$I$10,IF(I27&gt;-1,,I27-1),)</f>
        <v>0</v>
      </c>
      <c r="K27" s="130">
        <f>IF((0-J27)&lt;Valuation!$I$10,IF(J27&gt;-1,,J27-1),)</f>
        <v>0</v>
      </c>
      <c r="L27" s="130">
        <f>IF((0-K27)&lt;Valuation!$I$10,IF(K27&gt;-1,,K27-1),)</f>
        <v>0</v>
      </c>
    </row>
    <row r="28" spans="1:13">
      <c r="B28" s="131" t="s">
        <v>74</v>
      </c>
      <c r="C28" s="146">
        <f>IF('Key financials'!C27&lt;0,'Key financials'!C19/Valuation!$I$10,0)</f>
        <v>6497.6</v>
      </c>
      <c r="D28" s="146">
        <f>IF('Key financials'!D27&lt;0,'Key financials'!D19/Valuation!$I$10,0)</f>
        <v>5902</v>
      </c>
      <c r="E28" s="146">
        <f>IF('Key financials'!E27&lt;0,'Key financials'!E19/Valuation!$I$10,0)</f>
        <v>5439</v>
      </c>
      <c r="F28" s="146">
        <f>IF('Key financials'!F27&lt;0,'Key financials'!F19/Valuation!$I$10,0)</f>
        <v>4902.3999999999996</v>
      </c>
      <c r="G28" s="146">
        <f>IF('Key financials'!G27&lt;0,'Key financials'!G19/Valuation!$I$10,0)</f>
        <v>4143.2</v>
      </c>
      <c r="H28" s="146">
        <f>IF('Key financials'!H27&lt;0,'Key financials'!H19/Valuation!$I$10,0)</f>
        <v>0</v>
      </c>
      <c r="I28" s="146">
        <f>IF('Key financials'!I27&lt;0,'Key financials'!I19/Valuation!$I$10,0)</f>
        <v>0</v>
      </c>
      <c r="J28" s="146">
        <f>IF('Key financials'!J27&lt;0,'Key financials'!J19/Valuation!$I$10,0)</f>
        <v>0</v>
      </c>
      <c r="K28" s="146">
        <f>IF('Key financials'!K27&lt;0,'Key financials'!K19/Valuation!$I$10,0)</f>
        <v>0</v>
      </c>
      <c r="L28" s="146">
        <f>IF('Key financials'!L27&lt;0,'Key financials'!L19/Valuation!$I$10,0)</f>
        <v>0</v>
      </c>
    </row>
    <row r="30" spans="1:13">
      <c r="A30" s="253" t="s">
        <v>29</v>
      </c>
      <c r="B30" s="1" t="s">
        <v>8</v>
      </c>
      <c r="C30" s="1" t="s">
        <v>16</v>
      </c>
    </row>
    <row r="31" spans="1:13">
      <c r="A31" s="254"/>
      <c r="B31" s="1" t="s">
        <v>0</v>
      </c>
      <c r="C31" s="223">
        <v>5524</v>
      </c>
    </row>
    <row r="32" spans="1:13">
      <c r="B32" s="1">
        <v>1</v>
      </c>
      <c r="C32" s="224">
        <v>6111</v>
      </c>
    </row>
    <row r="33" spans="2:3">
      <c r="B33" s="1">
        <v>2</v>
      </c>
      <c r="C33" s="224">
        <v>5237</v>
      </c>
    </row>
    <row r="34" spans="2:3">
      <c r="B34" s="1">
        <v>3</v>
      </c>
      <c r="C34" s="224">
        <v>3495</v>
      </c>
    </row>
    <row r="35" spans="2:3">
      <c r="B35" s="1">
        <v>4</v>
      </c>
      <c r="C35" s="224">
        <v>2419</v>
      </c>
    </row>
    <row r="36" spans="2:3">
      <c r="B36" s="1">
        <v>5</v>
      </c>
      <c r="C36" s="224">
        <v>2017</v>
      </c>
    </row>
    <row r="37" spans="2:3">
      <c r="B37" s="1" t="s">
        <v>91</v>
      </c>
      <c r="C37" s="224">
        <v>6202</v>
      </c>
    </row>
  </sheetData>
  <sheetProtection formatCells="0" formatColumns="0" formatRows="0" insertColumns="0" insertRows="0" insertHyperlinks="0" deleteColumns="0" deleteRows="0"/>
  <mergeCells count="1">
    <mergeCell ref="A30:A31"/>
  </mergeCells>
  <pageMargins left="0.75" right="0.75" top="1" bottom="1" header="0.5" footer="0.5"/>
  <pageSetup paperSize="9" orientation="landscape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acheModel xmlns:xsi="http://www.w3.org/2001/XMLSchema-instance" xmlns:xsd="http://www.w3.org/2001/XMLSchema" xmlns="TagniFiModelState">
  <SerializedJson>[]</SerializedJson>
</CacheModel>
</file>

<file path=customXml/item2.xml>��< ? x m l   v e r s i o n = " 1 . 0 "   e n c o d i n g = " u t f - 1 6 " ? > < D a t a M a s h u p   x m l n s = " h t t p : / / s c h e m a s . m i c r o s o f t . c o m / D a t a M a s h u p " > A A A A A N 8 D A A B Q S w M E F A A C A A g A G q Z m V r u l l n y l A A A A 9 g A A A B I A H A B D b 2 5 m a W c v U G F j a 2 F n Z S 5 4 b W w g o h g A K K A U A A A A A A A A A A A A A A A A A A A A A A A A A A A A h Y / R C o I w G I V f R X b v N g 3 C 5 H c S 3 S Y E U X Q 7 1 t K h z n B b 8 9 2 6 6 J F 6 h Y y y u u v y n P M d O O d + v U E + t E 1 w k b 1 R n c 5 Q h C k K p B b d U e k y Q 8 6 e w g T l D D Z c 1 L y U w Q h r k w 5 G Z a i y 9 p w S 4 r 3 H f o a 7 v i Q x p R E 5 F O u t q G T L Q 6 W N 5 V p I 9 G k d / 7 c Q g / 1 r D I t x R B O 8 S O a Y A p l M K J T + A v G 4 9 5 n + m L B y j X W 9 Z K 4 O d 0 s g k w T y / s A e U E s D B B Q A A g A I A B q m Z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p m Z W X 0 h + 4 9 g A A A A i A Q A A E w A c A E Z v c m 1 1 b G F z L 1 N l Y 3 R p b 2 4 x L m 0 g o h g A K K A U A A A A A A A A A A A A A A A A A A A A A A A A A A A A j Y 6 / i s J A E I f 7 Q N 5 h 2 W s U g p B a r I K t z Q U s x C L q H C c m u 8 d m A 5 G Q Q g s t 7 g V s v S f Q Q i 7 + f 4 X f v p E b 7 K w c G A Z m f n z f p D T W U y n Y 5 3 P 6 b d d x n f Q 7 U j R h + M M O e 5 x R m R V 2 P u u w m L T r M F v Y m I V Z 4 m b W u K L C y d 6 6 + Z j i V p A p R U L 3 p Z q N p J w 1 m s W g F y X U 4 S 8 w P i w H g R T a Z o f e k / n B s c E / L j h Y Z t 1 X 8 4 s j s 5 o K d 2 4 N Y T S K q R W q S K R f U i W B j L N E h P M f S h u v / 3 h F w b G t N 9 a 4 x 8 G s f O 4 x b b N M U 6 7 L s u k 6 U / G O t / 0 A U E s B A i 0 A F A A C A A g A G q Z m V r u l l n y l A A A A 9 g A A A B I A A A A A A A A A A A A A A A A A A A A A A E N v b m Z p Z y 9 Q Y W N r Y W d l L n h t b F B L A Q I t A B Q A A g A I A B q m Z l Y P y u m r p A A A A O k A A A A T A A A A A A A A A A A A A A A A A P E A A A B b Q 2 9 u d G V u d F 9 U e X B l c 1 0 u e G 1 s U E s B A i 0 A F A A C A A g A G q Z m V l 9 I f u P Y A A A A I g E A A B M A A A A A A A A A A A A A A A A A 4 g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A k A A A A A A A A C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N V Q x N j o w N j o z M S 4 x O T I 0 O T Q 0 W i I g L z 4 8 R W 5 0 c n k g V H l w Z T 0 i R m l s b E N v b H V t b l R 5 c G V z I i B W Y W x 1 Z T 0 i c 0 J n P T 0 i I C 8 + P E V u d H J 5 I F R 5 c G U 9 I k Z p b G x D b 2 x 1 b W 5 O Y W 1 l c y I g V m F s d W U 9 I n N b J n F 1 b 3 Q 7 0 K H R g t C + 0 L v Q s d C 1 0 Y Y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9 C Y 0 L f Q v N C 1 0 L 3 Q t d C 9 0 L 3 R i 9 C 5 I N G C 0 L j Q v y 5 7 0 K H R g t C + 0 L v Q s d C 1 0 Y Y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9 C i 0 L D Q s d C 7 0 L j R h t C w M S / Q m N C 3 0 L z Q t d C 9 0 L X Q v d C 9 0 Y v Q u S D R g t C 4 0 L 8 u e 9 C h 0 Y L Q v t C 7 0 L H Q t d G G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Q a Q 9 u O k p h S L l s U E V h P V b N A A A A A A I A A A A A A B B m A A A A A Q A A I A A A A F E N D 5 H H F d t n E D g H x o 9 2 D u Z t M K v M T S e K Y + y e b Y i S g / w T A A A A A A 6 A A A A A A g A A I A A A A D u w T 8 w n h L t T X R a D m e R k F y K o Q R h n f B O h x 2 K C 1 k g g / B 6 k U A A A A K 3 4 l b 1 u s C v 8 3 G 4 j O f V d W 9 H w l e m J C + Y c 7 R 0 5 t 4 D P j Z 6 0 U C b X g 7 3 3 / 7 O j D 2 n o k A O h q S b C d U g M c g 3 w X S / x K 1 1 X / a L l 1 Y d i 0 P 0 n n m X F 5 U q H C 4 h h Q A A A A C O J q K h a 7 s I r K 7 p / + Q q F w z i B a H e 3 9 8 z o r r 2 U 9 C r J i P T 9 i f D H Q 2 M 8 i x O I U L w I r k q v 7 M l I 3 v m U V 8 O X M i n 6 V D g S 7 f I = < / D a t a M a s h u p > 
</file>

<file path=customXml/itemProps1.xml><?xml version="1.0" encoding="utf-8"?>
<ds:datastoreItem xmlns:ds="http://schemas.openxmlformats.org/officeDocument/2006/customXml" ds:itemID="{2C635B3A-900A-4735-8998-7EEAEE06D823}">
  <ds:schemaRefs>
    <ds:schemaRef ds:uri="http://www.w3.org/2001/XMLSchema"/>
    <ds:schemaRef ds:uri="TagniFiModelState"/>
  </ds:schemaRefs>
</ds:datastoreItem>
</file>

<file path=customXml/itemProps2.xml><?xml version="1.0" encoding="utf-8"?>
<ds:datastoreItem xmlns:ds="http://schemas.openxmlformats.org/officeDocument/2006/customXml" ds:itemID="{85BEFDD3-5E67-44B7-A203-1252775B4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Master</vt:lpstr>
      <vt:lpstr>Valuation</vt:lpstr>
      <vt:lpstr>Ind</vt:lpstr>
      <vt:lpstr>Key 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Vitalii Moshynskyi</cp:lastModifiedBy>
  <cp:lastPrinted>2023-06-11T14:13:13Z</cp:lastPrinted>
  <dcterms:created xsi:type="dcterms:W3CDTF">2023-03-05T07:14:20Z</dcterms:created>
  <dcterms:modified xsi:type="dcterms:W3CDTF">2026-01-15T12:29:54Z</dcterms:modified>
</cp:coreProperties>
</file>